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F:\818 - RECOMPENSAS\002 - PLANILHA CONSUMO\1-CLIENTE\"/>
    </mc:Choice>
  </mc:AlternateContent>
  <workbookProtection workbookAlgorithmName="SHA-512" workbookHashValue="XHuSeiygZjA7lNfROSKlq8DnwJgGV8rUNnOdwb3K3LeDw+mhnrqraxjYNy8kCea4foRELabkKFYt+WJNeTEE3Q==" workbookSaltValue="Bsqea0n1r+Dp544J28dNgQ==" workbookSpinCount="100000" lockStructure="1"/>
  <bookViews>
    <workbookView xWindow="0" yWindow="0" windowWidth="15360" windowHeight="7356" firstSheet="1" activeTab="1"/>
  </bookViews>
  <sheets>
    <sheet name="1. EXEMPLO" sheetId="1" state="hidden" r:id="rId1"/>
    <sheet name="QUAL É O CONSUMO" sheetId="5" r:id="rId2"/>
    <sheet name="PAYBACK" sheetId="6" r:id="rId3"/>
    <sheet name="BASE DE DADOS" sheetId="8" r:id="rId4"/>
    <sheet name="TAB_DINÂMICA" sheetId="13" r:id="rId5"/>
    <sheet name="origem" sheetId="9" state="hidden" r:id="rId6"/>
  </sheets>
  <definedNames>
    <definedName name="_xlnm._FilterDatabase" localSheetId="3" hidden="1">'BASE DE DADOS'!$E$6:$S$106</definedName>
    <definedName name="_xlnm._FilterDatabase" localSheetId="5" hidden="1">origem!$D$6:$L$105</definedName>
    <definedName name="_xlnm.Print_Area" localSheetId="0">'1. EXEMPLO'!$B$2:$J$40</definedName>
    <definedName name="_xlnm.Print_Area" localSheetId="3">'BASE DE DADOS'!$B$2:$T$108</definedName>
    <definedName name="_xlnm.Print_Area" localSheetId="2">PAYBACK!$B$2:$Q$64</definedName>
    <definedName name="_xlnm.Print_Area" localSheetId="1">'QUAL É O CONSUMO'!$B$3:$N$46</definedName>
    <definedName name="_xlnm.Print_Area" localSheetId="4">TAB_DINÂMICA!$B$2:$F$16</definedName>
  </definedName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E5" i="9"/>
  <c r="F5" i="9"/>
  <c r="G5" i="9"/>
  <c r="H5" i="9"/>
  <c r="I5" i="9"/>
  <c r="J5" i="9"/>
  <c r="K5" i="9"/>
  <c r="L5" i="9"/>
  <c r="D6" i="9"/>
  <c r="E6" i="9"/>
  <c r="F6" i="9"/>
  <c r="G6" i="9"/>
  <c r="H6" i="9"/>
  <c r="I6" i="9"/>
  <c r="J6" i="9"/>
  <c r="K6" i="9"/>
  <c r="L6" i="9"/>
  <c r="D7" i="9"/>
  <c r="E7" i="9"/>
  <c r="F7" i="9"/>
  <c r="G7" i="9"/>
  <c r="H7" i="9"/>
  <c r="I7" i="9"/>
  <c r="J7" i="9"/>
  <c r="K7" i="9"/>
  <c r="L7" i="9"/>
  <c r="D8" i="9"/>
  <c r="E8" i="9"/>
  <c r="F8" i="9"/>
  <c r="G8" i="9"/>
  <c r="H8" i="9"/>
  <c r="I8" i="9"/>
  <c r="J8" i="9"/>
  <c r="K8" i="9"/>
  <c r="L8" i="9"/>
  <c r="D9" i="9"/>
  <c r="E9" i="9"/>
  <c r="F9" i="9"/>
  <c r="G9" i="9"/>
  <c r="H9" i="9"/>
  <c r="I9" i="9"/>
  <c r="J9" i="9"/>
  <c r="K9" i="9"/>
  <c r="L9" i="9"/>
  <c r="D10" i="9"/>
  <c r="E10" i="9"/>
  <c r="F10" i="9"/>
  <c r="G10" i="9"/>
  <c r="H10" i="9"/>
  <c r="I10" i="9"/>
  <c r="J10" i="9"/>
  <c r="K10" i="9"/>
  <c r="L10" i="9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D15" i="9"/>
  <c r="E15" i="9"/>
  <c r="F15" i="9"/>
  <c r="G15" i="9"/>
  <c r="H15" i="9"/>
  <c r="I15" i="9"/>
  <c r="J15" i="9"/>
  <c r="K15" i="9"/>
  <c r="L15" i="9"/>
  <c r="D16" i="9"/>
  <c r="E16" i="9"/>
  <c r="F16" i="9"/>
  <c r="G16" i="9"/>
  <c r="H16" i="9"/>
  <c r="I16" i="9"/>
  <c r="J16" i="9"/>
  <c r="K16" i="9"/>
  <c r="L16" i="9"/>
  <c r="D17" i="9"/>
  <c r="E17" i="9"/>
  <c r="F17" i="9"/>
  <c r="G17" i="9"/>
  <c r="H17" i="9"/>
  <c r="I17" i="9"/>
  <c r="J17" i="9"/>
  <c r="K17" i="9"/>
  <c r="L17" i="9"/>
  <c r="D18" i="9"/>
  <c r="E18" i="9"/>
  <c r="F18" i="9"/>
  <c r="G18" i="9"/>
  <c r="H18" i="9"/>
  <c r="I18" i="9"/>
  <c r="J18" i="9"/>
  <c r="K18" i="9"/>
  <c r="L18" i="9"/>
  <c r="D19" i="9"/>
  <c r="E19" i="9"/>
  <c r="F19" i="9"/>
  <c r="G19" i="9"/>
  <c r="H19" i="9"/>
  <c r="I19" i="9"/>
  <c r="J19" i="9"/>
  <c r="K19" i="9"/>
  <c r="L19" i="9"/>
  <c r="D20" i="9"/>
  <c r="E20" i="9"/>
  <c r="F20" i="9"/>
  <c r="G20" i="9"/>
  <c r="H20" i="9"/>
  <c r="I20" i="9"/>
  <c r="J20" i="9"/>
  <c r="K20" i="9"/>
  <c r="L20" i="9"/>
  <c r="D21" i="9"/>
  <c r="E21" i="9"/>
  <c r="F21" i="9"/>
  <c r="G21" i="9"/>
  <c r="H21" i="9"/>
  <c r="I21" i="9"/>
  <c r="J21" i="9"/>
  <c r="K21" i="9"/>
  <c r="L21" i="9"/>
  <c r="D22" i="9"/>
  <c r="E22" i="9"/>
  <c r="F22" i="9"/>
  <c r="G22" i="9"/>
  <c r="H22" i="9"/>
  <c r="I22" i="9"/>
  <c r="J22" i="9"/>
  <c r="K22" i="9"/>
  <c r="L22" i="9"/>
  <c r="D23" i="9"/>
  <c r="E23" i="9"/>
  <c r="F23" i="9"/>
  <c r="G23" i="9"/>
  <c r="H23" i="9"/>
  <c r="I23" i="9"/>
  <c r="J23" i="9"/>
  <c r="K23" i="9"/>
  <c r="L23" i="9"/>
  <c r="D24" i="9"/>
  <c r="E24" i="9"/>
  <c r="F24" i="9"/>
  <c r="G24" i="9"/>
  <c r="H24" i="9"/>
  <c r="I24" i="9"/>
  <c r="J24" i="9"/>
  <c r="K24" i="9"/>
  <c r="L24" i="9"/>
  <c r="D25" i="9"/>
  <c r="E25" i="9"/>
  <c r="F25" i="9"/>
  <c r="G25" i="9"/>
  <c r="H25" i="9"/>
  <c r="I25" i="9"/>
  <c r="J25" i="9"/>
  <c r="K25" i="9"/>
  <c r="L25" i="9"/>
  <c r="D26" i="9"/>
  <c r="E26" i="9"/>
  <c r="F26" i="9"/>
  <c r="G26" i="9"/>
  <c r="H26" i="9"/>
  <c r="I26" i="9"/>
  <c r="J26" i="9"/>
  <c r="K26" i="9"/>
  <c r="L26" i="9"/>
  <c r="D27" i="9"/>
  <c r="E27" i="9"/>
  <c r="F27" i="9"/>
  <c r="G27" i="9"/>
  <c r="H27" i="9"/>
  <c r="I27" i="9"/>
  <c r="J27" i="9"/>
  <c r="K27" i="9"/>
  <c r="L27" i="9"/>
  <c r="D28" i="9"/>
  <c r="E28" i="9"/>
  <c r="F28" i="9"/>
  <c r="G28" i="9"/>
  <c r="H28" i="9"/>
  <c r="I28" i="9"/>
  <c r="J28" i="9"/>
  <c r="K28" i="9"/>
  <c r="L28" i="9"/>
  <c r="D29" i="9"/>
  <c r="E29" i="9"/>
  <c r="F29" i="9"/>
  <c r="G29" i="9"/>
  <c r="H29" i="9"/>
  <c r="I29" i="9"/>
  <c r="J29" i="9"/>
  <c r="K29" i="9"/>
  <c r="L29" i="9"/>
  <c r="D30" i="9"/>
  <c r="E30" i="9"/>
  <c r="F30" i="9"/>
  <c r="G30" i="9"/>
  <c r="H30" i="9"/>
  <c r="I30" i="9"/>
  <c r="J30" i="9"/>
  <c r="K30" i="9"/>
  <c r="L30" i="9"/>
  <c r="D31" i="9"/>
  <c r="E31" i="9"/>
  <c r="F31" i="9"/>
  <c r="G31" i="9"/>
  <c r="H31" i="9"/>
  <c r="I31" i="9"/>
  <c r="J31" i="9"/>
  <c r="K31" i="9"/>
  <c r="L31" i="9"/>
  <c r="D32" i="9"/>
  <c r="E32" i="9"/>
  <c r="F32" i="9"/>
  <c r="G32" i="9"/>
  <c r="H32" i="9"/>
  <c r="I32" i="9"/>
  <c r="J32" i="9"/>
  <c r="K32" i="9"/>
  <c r="L32" i="9"/>
  <c r="D33" i="9"/>
  <c r="E33" i="9"/>
  <c r="F33" i="9"/>
  <c r="G33" i="9"/>
  <c r="H33" i="9"/>
  <c r="I33" i="9"/>
  <c r="J33" i="9"/>
  <c r="K33" i="9"/>
  <c r="L33" i="9"/>
  <c r="D34" i="9"/>
  <c r="E34" i="9"/>
  <c r="F34" i="9"/>
  <c r="G34" i="9"/>
  <c r="H34" i="9"/>
  <c r="I34" i="9"/>
  <c r="J34" i="9"/>
  <c r="K34" i="9"/>
  <c r="L34" i="9"/>
  <c r="D35" i="9"/>
  <c r="E35" i="9"/>
  <c r="F35" i="9"/>
  <c r="G35" i="9"/>
  <c r="H35" i="9"/>
  <c r="I35" i="9"/>
  <c r="J35" i="9"/>
  <c r="K35" i="9"/>
  <c r="L35" i="9"/>
  <c r="D36" i="9"/>
  <c r="E36" i="9"/>
  <c r="F36" i="9"/>
  <c r="G36" i="9"/>
  <c r="H36" i="9"/>
  <c r="I36" i="9"/>
  <c r="J36" i="9"/>
  <c r="K36" i="9"/>
  <c r="L36" i="9"/>
  <c r="D37" i="9"/>
  <c r="E37" i="9"/>
  <c r="F37" i="9"/>
  <c r="G37" i="9"/>
  <c r="H37" i="9"/>
  <c r="I37" i="9"/>
  <c r="J37" i="9"/>
  <c r="K37" i="9"/>
  <c r="L37" i="9"/>
  <c r="D38" i="9"/>
  <c r="E38" i="9"/>
  <c r="F38" i="9"/>
  <c r="G38" i="9"/>
  <c r="H38" i="9"/>
  <c r="I38" i="9"/>
  <c r="J38" i="9"/>
  <c r="K38" i="9"/>
  <c r="L38" i="9"/>
  <c r="D39" i="9"/>
  <c r="E39" i="9"/>
  <c r="F39" i="9"/>
  <c r="G39" i="9"/>
  <c r="H39" i="9"/>
  <c r="I39" i="9"/>
  <c r="J39" i="9"/>
  <c r="K39" i="9"/>
  <c r="L39" i="9"/>
  <c r="D40" i="9"/>
  <c r="E40" i="9"/>
  <c r="F40" i="9"/>
  <c r="G40" i="9"/>
  <c r="H40" i="9"/>
  <c r="I40" i="9"/>
  <c r="J40" i="9"/>
  <c r="K40" i="9"/>
  <c r="L40" i="9"/>
  <c r="D41" i="9"/>
  <c r="E41" i="9"/>
  <c r="F41" i="9"/>
  <c r="G41" i="9"/>
  <c r="H41" i="9"/>
  <c r="I41" i="9"/>
  <c r="J41" i="9"/>
  <c r="K41" i="9"/>
  <c r="L41" i="9"/>
  <c r="D42" i="9"/>
  <c r="E42" i="9"/>
  <c r="F42" i="9"/>
  <c r="G42" i="9"/>
  <c r="H42" i="9"/>
  <c r="I42" i="9"/>
  <c r="J42" i="9"/>
  <c r="K42" i="9"/>
  <c r="L42" i="9"/>
  <c r="D43" i="9"/>
  <c r="E43" i="9"/>
  <c r="F43" i="9"/>
  <c r="G43" i="9"/>
  <c r="H43" i="9"/>
  <c r="I43" i="9"/>
  <c r="J43" i="9"/>
  <c r="K43" i="9"/>
  <c r="L43" i="9"/>
  <c r="D44" i="9"/>
  <c r="E44" i="9"/>
  <c r="F44" i="9"/>
  <c r="G44" i="9"/>
  <c r="H44" i="9"/>
  <c r="I44" i="9"/>
  <c r="J44" i="9"/>
  <c r="K44" i="9"/>
  <c r="L44" i="9"/>
  <c r="D45" i="9"/>
  <c r="E45" i="9"/>
  <c r="F45" i="9"/>
  <c r="G45" i="9"/>
  <c r="H45" i="9"/>
  <c r="I45" i="9"/>
  <c r="J45" i="9"/>
  <c r="K45" i="9"/>
  <c r="L45" i="9"/>
  <c r="D46" i="9"/>
  <c r="E46" i="9"/>
  <c r="F46" i="9"/>
  <c r="G46" i="9"/>
  <c r="H46" i="9"/>
  <c r="I46" i="9"/>
  <c r="J46" i="9"/>
  <c r="K46" i="9"/>
  <c r="L46" i="9"/>
  <c r="D47" i="9"/>
  <c r="E47" i="9"/>
  <c r="F47" i="9"/>
  <c r="G47" i="9"/>
  <c r="H47" i="9"/>
  <c r="I47" i="9"/>
  <c r="J47" i="9"/>
  <c r="K47" i="9"/>
  <c r="L47" i="9"/>
  <c r="D48" i="9"/>
  <c r="E48" i="9"/>
  <c r="F48" i="9"/>
  <c r="G48" i="9"/>
  <c r="H48" i="9"/>
  <c r="I48" i="9"/>
  <c r="J48" i="9"/>
  <c r="K48" i="9"/>
  <c r="L48" i="9"/>
  <c r="D49" i="9"/>
  <c r="E49" i="9"/>
  <c r="F49" i="9"/>
  <c r="G49" i="9"/>
  <c r="H49" i="9"/>
  <c r="I49" i="9"/>
  <c r="J49" i="9"/>
  <c r="K49" i="9"/>
  <c r="L49" i="9"/>
  <c r="D50" i="9"/>
  <c r="E50" i="9"/>
  <c r="F50" i="9"/>
  <c r="G50" i="9"/>
  <c r="H50" i="9"/>
  <c r="I50" i="9"/>
  <c r="J50" i="9"/>
  <c r="K50" i="9"/>
  <c r="L50" i="9"/>
  <c r="D51" i="9"/>
  <c r="E51" i="9"/>
  <c r="F51" i="9"/>
  <c r="G51" i="9"/>
  <c r="H51" i="9"/>
  <c r="I51" i="9"/>
  <c r="J51" i="9"/>
  <c r="K51" i="9"/>
  <c r="L51" i="9"/>
  <c r="D52" i="9"/>
  <c r="E52" i="9"/>
  <c r="F52" i="9"/>
  <c r="G52" i="9"/>
  <c r="H52" i="9"/>
  <c r="I52" i="9"/>
  <c r="J52" i="9"/>
  <c r="K52" i="9"/>
  <c r="L52" i="9"/>
  <c r="D53" i="9"/>
  <c r="E53" i="9"/>
  <c r="F53" i="9"/>
  <c r="G53" i="9"/>
  <c r="H53" i="9"/>
  <c r="I53" i="9"/>
  <c r="J53" i="9"/>
  <c r="K53" i="9"/>
  <c r="L53" i="9"/>
  <c r="D54" i="9"/>
  <c r="E54" i="9"/>
  <c r="F54" i="9"/>
  <c r="G54" i="9"/>
  <c r="H54" i="9"/>
  <c r="I54" i="9"/>
  <c r="J54" i="9"/>
  <c r="K54" i="9"/>
  <c r="L54" i="9"/>
  <c r="D55" i="9"/>
  <c r="E55" i="9"/>
  <c r="F55" i="9"/>
  <c r="G55" i="9"/>
  <c r="H55" i="9"/>
  <c r="I55" i="9"/>
  <c r="J55" i="9"/>
  <c r="K55" i="9"/>
  <c r="L55" i="9"/>
  <c r="D56" i="9"/>
  <c r="E56" i="9"/>
  <c r="F56" i="9"/>
  <c r="G56" i="9"/>
  <c r="H56" i="9"/>
  <c r="I56" i="9"/>
  <c r="J56" i="9"/>
  <c r="K56" i="9"/>
  <c r="L56" i="9"/>
  <c r="D57" i="9"/>
  <c r="E57" i="9"/>
  <c r="F57" i="9"/>
  <c r="G57" i="9"/>
  <c r="H57" i="9"/>
  <c r="I57" i="9"/>
  <c r="J57" i="9"/>
  <c r="K57" i="9"/>
  <c r="L57" i="9"/>
  <c r="D58" i="9"/>
  <c r="E58" i="9"/>
  <c r="F58" i="9"/>
  <c r="G58" i="9"/>
  <c r="H58" i="9"/>
  <c r="I58" i="9"/>
  <c r="J58" i="9"/>
  <c r="K58" i="9"/>
  <c r="L58" i="9"/>
  <c r="D59" i="9"/>
  <c r="E59" i="9"/>
  <c r="F59" i="9"/>
  <c r="G59" i="9"/>
  <c r="H59" i="9"/>
  <c r="I59" i="9"/>
  <c r="J59" i="9"/>
  <c r="K59" i="9"/>
  <c r="L59" i="9"/>
  <c r="D60" i="9"/>
  <c r="E60" i="9"/>
  <c r="F60" i="9"/>
  <c r="G60" i="9"/>
  <c r="H60" i="9"/>
  <c r="I60" i="9"/>
  <c r="J60" i="9"/>
  <c r="K60" i="9"/>
  <c r="L60" i="9"/>
  <c r="D61" i="9"/>
  <c r="E61" i="9"/>
  <c r="F61" i="9"/>
  <c r="G61" i="9"/>
  <c r="H61" i="9"/>
  <c r="I61" i="9"/>
  <c r="J61" i="9"/>
  <c r="K61" i="9"/>
  <c r="L61" i="9"/>
  <c r="D62" i="9"/>
  <c r="E62" i="9"/>
  <c r="F62" i="9"/>
  <c r="G62" i="9"/>
  <c r="H62" i="9"/>
  <c r="I62" i="9"/>
  <c r="J62" i="9"/>
  <c r="K62" i="9"/>
  <c r="L62" i="9"/>
  <c r="D63" i="9"/>
  <c r="E63" i="9"/>
  <c r="F63" i="9"/>
  <c r="G63" i="9"/>
  <c r="H63" i="9"/>
  <c r="I63" i="9"/>
  <c r="J63" i="9"/>
  <c r="K63" i="9"/>
  <c r="L63" i="9"/>
  <c r="D64" i="9"/>
  <c r="E64" i="9"/>
  <c r="F64" i="9"/>
  <c r="G64" i="9"/>
  <c r="H64" i="9"/>
  <c r="I64" i="9"/>
  <c r="J64" i="9"/>
  <c r="K64" i="9"/>
  <c r="L64" i="9"/>
  <c r="D65" i="9"/>
  <c r="E65" i="9"/>
  <c r="F65" i="9"/>
  <c r="G65" i="9"/>
  <c r="H65" i="9"/>
  <c r="I65" i="9"/>
  <c r="J65" i="9"/>
  <c r="K65" i="9"/>
  <c r="L65" i="9"/>
  <c r="D66" i="9"/>
  <c r="E66" i="9"/>
  <c r="F66" i="9"/>
  <c r="G66" i="9"/>
  <c r="H66" i="9"/>
  <c r="I66" i="9"/>
  <c r="J66" i="9"/>
  <c r="K66" i="9"/>
  <c r="L66" i="9"/>
  <c r="D67" i="9"/>
  <c r="E67" i="9"/>
  <c r="F67" i="9"/>
  <c r="G67" i="9"/>
  <c r="H67" i="9"/>
  <c r="I67" i="9"/>
  <c r="J67" i="9"/>
  <c r="K67" i="9"/>
  <c r="L67" i="9"/>
  <c r="D68" i="9"/>
  <c r="E68" i="9"/>
  <c r="F68" i="9"/>
  <c r="G68" i="9"/>
  <c r="H68" i="9"/>
  <c r="I68" i="9"/>
  <c r="J68" i="9"/>
  <c r="K68" i="9"/>
  <c r="L68" i="9"/>
  <c r="D69" i="9"/>
  <c r="E69" i="9"/>
  <c r="F69" i="9"/>
  <c r="G69" i="9"/>
  <c r="H69" i="9"/>
  <c r="I69" i="9"/>
  <c r="J69" i="9"/>
  <c r="K69" i="9"/>
  <c r="L69" i="9"/>
  <c r="D70" i="9"/>
  <c r="E70" i="9"/>
  <c r="F70" i="9"/>
  <c r="G70" i="9"/>
  <c r="H70" i="9"/>
  <c r="I70" i="9"/>
  <c r="J70" i="9"/>
  <c r="K70" i="9"/>
  <c r="L70" i="9"/>
  <c r="D71" i="9"/>
  <c r="E71" i="9"/>
  <c r="F71" i="9"/>
  <c r="G71" i="9"/>
  <c r="H71" i="9"/>
  <c r="I71" i="9"/>
  <c r="J71" i="9"/>
  <c r="K71" i="9"/>
  <c r="L71" i="9"/>
  <c r="D72" i="9"/>
  <c r="E72" i="9"/>
  <c r="F72" i="9"/>
  <c r="G72" i="9"/>
  <c r="H72" i="9"/>
  <c r="I72" i="9"/>
  <c r="J72" i="9"/>
  <c r="K72" i="9"/>
  <c r="L72" i="9"/>
  <c r="D73" i="9"/>
  <c r="E73" i="9"/>
  <c r="F73" i="9"/>
  <c r="G73" i="9"/>
  <c r="H73" i="9"/>
  <c r="I73" i="9"/>
  <c r="J73" i="9"/>
  <c r="K73" i="9"/>
  <c r="L73" i="9"/>
  <c r="D74" i="9"/>
  <c r="E74" i="9"/>
  <c r="F74" i="9"/>
  <c r="G74" i="9"/>
  <c r="H74" i="9"/>
  <c r="I74" i="9"/>
  <c r="J74" i="9"/>
  <c r="K74" i="9"/>
  <c r="L74" i="9"/>
  <c r="D75" i="9"/>
  <c r="E75" i="9"/>
  <c r="F75" i="9"/>
  <c r="G75" i="9"/>
  <c r="H75" i="9"/>
  <c r="I75" i="9"/>
  <c r="J75" i="9"/>
  <c r="K75" i="9"/>
  <c r="L75" i="9"/>
  <c r="D76" i="9"/>
  <c r="E76" i="9"/>
  <c r="F76" i="9"/>
  <c r="G76" i="9"/>
  <c r="H76" i="9"/>
  <c r="I76" i="9"/>
  <c r="J76" i="9"/>
  <c r="K76" i="9"/>
  <c r="L76" i="9"/>
  <c r="D77" i="9"/>
  <c r="E77" i="9"/>
  <c r="F77" i="9"/>
  <c r="G77" i="9"/>
  <c r="H77" i="9"/>
  <c r="I77" i="9"/>
  <c r="J77" i="9"/>
  <c r="K77" i="9"/>
  <c r="L77" i="9"/>
  <c r="D78" i="9"/>
  <c r="E78" i="9"/>
  <c r="F78" i="9"/>
  <c r="G78" i="9"/>
  <c r="H78" i="9"/>
  <c r="I78" i="9"/>
  <c r="J78" i="9"/>
  <c r="K78" i="9"/>
  <c r="L78" i="9"/>
  <c r="D79" i="9"/>
  <c r="E79" i="9"/>
  <c r="F79" i="9"/>
  <c r="G79" i="9"/>
  <c r="H79" i="9"/>
  <c r="I79" i="9"/>
  <c r="J79" i="9"/>
  <c r="K79" i="9"/>
  <c r="L79" i="9"/>
  <c r="D80" i="9"/>
  <c r="E80" i="9"/>
  <c r="F80" i="9"/>
  <c r="G80" i="9"/>
  <c r="H80" i="9"/>
  <c r="I80" i="9"/>
  <c r="J80" i="9"/>
  <c r="K80" i="9"/>
  <c r="L80" i="9"/>
  <c r="D81" i="9"/>
  <c r="E81" i="9"/>
  <c r="F81" i="9"/>
  <c r="G81" i="9"/>
  <c r="H81" i="9"/>
  <c r="I81" i="9"/>
  <c r="J81" i="9"/>
  <c r="K81" i="9"/>
  <c r="L81" i="9"/>
  <c r="D82" i="9"/>
  <c r="E82" i="9"/>
  <c r="F82" i="9"/>
  <c r="G82" i="9"/>
  <c r="H82" i="9"/>
  <c r="I82" i="9"/>
  <c r="J82" i="9"/>
  <c r="K82" i="9"/>
  <c r="L82" i="9"/>
  <c r="D83" i="9"/>
  <c r="E83" i="9"/>
  <c r="F83" i="9"/>
  <c r="G83" i="9"/>
  <c r="H83" i="9"/>
  <c r="I83" i="9"/>
  <c r="J83" i="9"/>
  <c r="K83" i="9"/>
  <c r="L83" i="9"/>
  <c r="D84" i="9"/>
  <c r="E84" i="9"/>
  <c r="F84" i="9"/>
  <c r="G84" i="9"/>
  <c r="H84" i="9"/>
  <c r="I84" i="9"/>
  <c r="J84" i="9"/>
  <c r="K84" i="9"/>
  <c r="L84" i="9"/>
  <c r="D85" i="9"/>
  <c r="E85" i="9"/>
  <c r="F85" i="9"/>
  <c r="G85" i="9"/>
  <c r="H85" i="9"/>
  <c r="I85" i="9"/>
  <c r="J85" i="9"/>
  <c r="K85" i="9"/>
  <c r="L85" i="9"/>
  <c r="D86" i="9"/>
  <c r="E86" i="9"/>
  <c r="F86" i="9"/>
  <c r="G86" i="9"/>
  <c r="H86" i="9"/>
  <c r="I86" i="9"/>
  <c r="J86" i="9"/>
  <c r="K86" i="9"/>
  <c r="L86" i="9"/>
  <c r="D87" i="9"/>
  <c r="E87" i="9"/>
  <c r="F87" i="9"/>
  <c r="G87" i="9"/>
  <c r="H87" i="9"/>
  <c r="I87" i="9"/>
  <c r="J87" i="9"/>
  <c r="K87" i="9"/>
  <c r="L87" i="9"/>
  <c r="D88" i="9"/>
  <c r="E88" i="9"/>
  <c r="F88" i="9"/>
  <c r="G88" i="9"/>
  <c r="H88" i="9"/>
  <c r="I88" i="9"/>
  <c r="J88" i="9"/>
  <c r="K88" i="9"/>
  <c r="L88" i="9"/>
  <c r="D89" i="9"/>
  <c r="E89" i="9"/>
  <c r="F89" i="9"/>
  <c r="G89" i="9"/>
  <c r="H89" i="9"/>
  <c r="I89" i="9"/>
  <c r="J89" i="9"/>
  <c r="K89" i="9"/>
  <c r="L89" i="9"/>
  <c r="D90" i="9"/>
  <c r="E90" i="9"/>
  <c r="F90" i="9"/>
  <c r="G90" i="9"/>
  <c r="H90" i="9"/>
  <c r="I90" i="9"/>
  <c r="J90" i="9"/>
  <c r="K90" i="9"/>
  <c r="L90" i="9"/>
  <c r="D91" i="9"/>
  <c r="E91" i="9"/>
  <c r="F91" i="9"/>
  <c r="G91" i="9"/>
  <c r="H91" i="9"/>
  <c r="I91" i="9"/>
  <c r="J91" i="9"/>
  <c r="K91" i="9"/>
  <c r="L91" i="9"/>
  <c r="D92" i="9"/>
  <c r="E92" i="9"/>
  <c r="F92" i="9"/>
  <c r="G92" i="9"/>
  <c r="H92" i="9"/>
  <c r="I92" i="9"/>
  <c r="J92" i="9"/>
  <c r="K92" i="9"/>
  <c r="L92" i="9"/>
  <c r="D93" i="9"/>
  <c r="E93" i="9"/>
  <c r="F93" i="9"/>
  <c r="G93" i="9"/>
  <c r="H93" i="9"/>
  <c r="I93" i="9"/>
  <c r="J93" i="9"/>
  <c r="K93" i="9"/>
  <c r="L93" i="9"/>
  <c r="D94" i="9"/>
  <c r="E94" i="9"/>
  <c r="F94" i="9"/>
  <c r="G94" i="9"/>
  <c r="H94" i="9"/>
  <c r="I94" i="9"/>
  <c r="J94" i="9"/>
  <c r="K94" i="9"/>
  <c r="L94" i="9"/>
  <c r="D95" i="9"/>
  <c r="E95" i="9"/>
  <c r="F95" i="9"/>
  <c r="G95" i="9"/>
  <c r="H95" i="9"/>
  <c r="I95" i="9"/>
  <c r="J95" i="9"/>
  <c r="K95" i="9"/>
  <c r="L95" i="9"/>
  <c r="D96" i="9"/>
  <c r="E96" i="9"/>
  <c r="F96" i="9"/>
  <c r="G96" i="9"/>
  <c r="H96" i="9"/>
  <c r="I96" i="9"/>
  <c r="J96" i="9"/>
  <c r="K96" i="9"/>
  <c r="L96" i="9"/>
  <c r="D97" i="9"/>
  <c r="E97" i="9"/>
  <c r="F97" i="9"/>
  <c r="G97" i="9"/>
  <c r="H97" i="9"/>
  <c r="I97" i="9"/>
  <c r="J97" i="9"/>
  <c r="K97" i="9"/>
  <c r="L97" i="9"/>
  <c r="D98" i="9"/>
  <c r="E98" i="9"/>
  <c r="F98" i="9"/>
  <c r="G98" i="9"/>
  <c r="H98" i="9"/>
  <c r="I98" i="9"/>
  <c r="J98" i="9"/>
  <c r="K98" i="9"/>
  <c r="L98" i="9"/>
  <c r="D99" i="9"/>
  <c r="E99" i="9"/>
  <c r="F99" i="9"/>
  <c r="G99" i="9"/>
  <c r="H99" i="9"/>
  <c r="I99" i="9"/>
  <c r="J99" i="9"/>
  <c r="K99" i="9"/>
  <c r="L99" i="9"/>
  <c r="D100" i="9"/>
  <c r="E100" i="9"/>
  <c r="F100" i="9"/>
  <c r="G100" i="9"/>
  <c r="H100" i="9"/>
  <c r="I100" i="9"/>
  <c r="J100" i="9"/>
  <c r="K100" i="9"/>
  <c r="L100" i="9"/>
  <c r="D101" i="9"/>
  <c r="E101" i="9"/>
  <c r="F101" i="9"/>
  <c r="G101" i="9"/>
  <c r="H101" i="9"/>
  <c r="I101" i="9"/>
  <c r="J101" i="9"/>
  <c r="K101" i="9"/>
  <c r="L101" i="9"/>
  <c r="D102" i="9"/>
  <c r="E102" i="9"/>
  <c r="F102" i="9"/>
  <c r="G102" i="9"/>
  <c r="H102" i="9"/>
  <c r="I102" i="9"/>
  <c r="J102" i="9"/>
  <c r="K102" i="9"/>
  <c r="L102" i="9"/>
  <c r="D103" i="9"/>
  <c r="E103" i="9"/>
  <c r="F103" i="9"/>
  <c r="G103" i="9"/>
  <c r="H103" i="9"/>
  <c r="I103" i="9"/>
  <c r="J103" i="9"/>
  <c r="K103" i="9"/>
  <c r="L103" i="9"/>
  <c r="D104" i="9"/>
  <c r="E104" i="9"/>
  <c r="F104" i="9"/>
  <c r="G104" i="9"/>
  <c r="H104" i="9"/>
  <c r="I104" i="9"/>
  <c r="J104" i="9"/>
  <c r="K104" i="9"/>
  <c r="L104" i="9"/>
  <c r="D105" i="9"/>
  <c r="E105" i="9"/>
  <c r="F105" i="9"/>
  <c r="G105" i="9"/>
  <c r="H105" i="9"/>
  <c r="I105" i="9"/>
  <c r="J105" i="9"/>
  <c r="K105" i="9"/>
  <c r="L105" i="9"/>
  <c r="AB20" i="6" l="1"/>
  <c r="K20" i="6"/>
  <c r="AX38" i="6"/>
  <c r="AX37" i="6"/>
  <c r="AX36" i="6"/>
  <c r="AX35" i="6"/>
  <c r="AX34" i="6"/>
  <c r="AX33" i="6"/>
  <c r="M33" i="6"/>
  <c r="E33" i="6"/>
  <c r="AT21" i="6"/>
  <c r="AR21" i="6"/>
  <c r="AF21" i="6"/>
  <c r="AQ21" i="6" s="1"/>
  <c r="AZ38" i="6" s="1"/>
  <c r="AT20" i="6"/>
  <c r="AR20" i="6"/>
  <c r="AF20" i="6"/>
  <c r="AQ20" i="6" s="1"/>
  <c r="AZ37" i="6" s="1"/>
  <c r="AD20" i="6"/>
  <c r="AT19" i="6"/>
  <c r="AR19" i="6"/>
  <c r="AF19" i="6"/>
  <c r="AQ19" i="6" s="1"/>
  <c r="AZ36" i="6" s="1"/>
  <c r="AT18" i="6"/>
  <c r="AR18" i="6"/>
  <c r="AF18" i="6"/>
  <c r="AQ18" i="6" s="1"/>
  <c r="AZ35" i="6" s="1"/>
  <c r="AT17" i="6"/>
  <c r="AR17" i="6"/>
  <c r="AF17" i="6"/>
  <c r="AQ17" i="6" s="1"/>
  <c r="AZ34" i="6" s="1"/>
  <c r="AT16" i="6"/>
  <c r="AR16" i="6"/>
  <c r="AF16" i="6"/>
  <c r="AQ16" i="6" s="1"/>
  <c r="AZ33" i="6" s="1"/>
  <c r="AT15" i="6"/>
  <c r="AR15" i="6"/>
  <c r="AF15" i="6"/>
  <c r="AQ15" i="6" s="1"/>
  <c r="AY38" i="6" s="1"/>
  <c r="AT14" i="6"/>
  <c r="AR14" i="6"/>
  <c r="AF14" i="6"/>
  <c r="AQ14" i="6" s="1"/>
  <c r="AY37" i="6" s="1"/>
  <c r="AT13" i="6"/>
  <c r="AR13" i="6"/>
  <c r="AQ13" i="6"/>
  <c r="AY36" i="6" s="1"/>
  <c r="AF13" i="6"/>
  <c r="AT12" i="6"/>
  <c r="AR12" i="6"/>
  <c r="AF12" i="6"/>
  <c r="AQ12" i="6" s="1"/>
  <c r="AY35" i="6" s="1"/>
  <c r="AT11" i="6"/>
  <c r="AR11" i="6"/>
  <c r="AF11" i="6"/>
  <c r="AQ11" i="6" s="1"/>
  <c r="AY34" i="6" s="1"/>
  <c r="AT10" i="6"/>
  <c r="AR10" i="6"/>
  <c r="AF10" i="6"/>
  <c r="AQ10" i="6" s="1"/>
  <c r="AY33" i="6" s="1"/>
  <c r="AP9" i="6"/>
  <c r="G4" i="6"/>
  <c r="G32" i="6" l="1"/>
  <c r="G33" i="6"/>
  <c r="AB15" i="6"/>
  <c r="AS15" i="6" s="1"/>
  <c r="AM15" i="6" s="1"/>
  <c r="AC14" i="6"/>
  <c r="AS20" i="6" s="1"/>
  <c r="AK20" i="6" s="1"/>
  <c r="AB11" i="6"/>
  <c r="AS11" i="6" s="1"/>
  <c r="AC10" i="6"/>
  <c r="AS16" i="6" s="1"/>
  <c r="AC15" i="6"/>
  <c r="AS21" i="6" s="1"/>
  <c r="AM21" i="6" s="1"/>
  <c r="AC11" i="6"/>
  <c r="AS17" i="6" s="1"/>
  <c r="AM17" i="6" s="1"/>
  <c r="AC13" i="6"/>
  <c r="AS19" i="6" s="1"/>
  <c r="AM19" i="6" s="1"/>
  <c r="AB10" i="6"/>
  <c r="AS10" i="6" s="1"/>
  <c r="AB13" i="6"/>
  <c r="AS13" i="6" s="1"/>
  <c r="AC12" i="6"/>
  <c r="AS18" i="6" s="1"/>
  <c r="AM18" i="6" s="1"/>
  <c r="AB12" i="6"/>
  <c r="AS12" i="6" s="1"/>
  <c r="AM12" i="6" s="1"/>
  <c r="AB14" i="6"/>
  <c r="AS14" i="6" s="1"/>
  <c r="AM14" i="6" s="1"/>
  <c r="E42" i="6"/>
  <c r="E39" i="6"/>
  <c r="M39" i="6"/>
  <c r="M42" i="6"/>
  <c r="AC20" i="6"/>
  <c r="H22" i="6" s="1"/>
  <c r="AK17" i="6" l="1"/>
  <c r="AK21" i="6"/>
  <c r="AK12" i="6"/>
  <c r="AK19" i="6"/>
  <c r="AL19" i="6"/>
  <c r="AL15" i="6"/>
  <c r="AP15" i="6" s="1"/>
  <c r="AL11" i="6"/>
  <c r="AL20" i="6"/>
  <c r="AL16" i="6"/>
  <c r="AL17" i="6"/>
  <c r="AP17" i="6" s="1"/>
  <c r="AL14" i="6"/>
  <c r="AL12" i="6"/>
  <c r="AP12" i="6" s="1"/>
  <c r="AL21" i="6"/>
  <c r="AP21" i="6" s="1"/>
  <c r="AL13" i="6"/>
  <c r="AL10" i="6"/>
  <c r="AL18" i="6"/>
  <c r="AM13" i="6"/>
  <c r="AK13" i="6"/>
  <c r="AM20" i="6"/>
  <c r="AM10" i="6"/>
  <c r="AK10" i="6"/>
  <c r="AM16" i="6"/>
  <c r="AK16" i="6"/>
  <c r="AK14" i="6"/>
  <c r="AK15" i="6"/>
  <c r="AK18" i="6"/>
  <c r="AM11" i="6"/>
  <c r="AK11" i="6"/>
  <c r="AJ15" i="5"/>
  <c r="AI15" i="5"/>
  <c r="C20" i="5"/>
  <c r="AK3" i="5"/>
  <c r="AI17" i="5" l="1"/>
  <c r="AI19" i="5"/>
  <c r="AJ17" i="5"/>
  <c r="AJ19" i="5"/>
  <c r="AP14" i="6"/>
  <c r="AP10" i="6"/>
  <c r="AP18" i="6"/>
  <c r="AP19" i="6"/>
  <c r="AP20" i="6"/>
  <c r="AP11" i="6"/>
  <c r="AP16" i="6"/>
  <c r="AP13" i="6"/>
  <c r="AG22" i="5"/>
  <c r="AE22" i="5"/>
  <c r="M22" i="5"/>
  <c r="AF17" i="5" s="1"/>
  <c r="C7" i="5"/>
  <c r="AX19" i="6" l="1"/>
  <c r="AY19" i="6" s="1"/>
  <c r="AX20" i="6"/>
  <c r="BC20" i="6" s="1"/>
  <c r="BE20" i="6" s="1"/>
  <c r="AX12" i="6"/>
  <c r="AZ12" i="6" s="1"/>
  <c r="AX21" i="6"/>
  <c r="AY21" i="6" s="1"/>
  <c r="AX13" i="6"/>
  <c r="AZ13" i="6" s="1"/>
  <c r="AX14" i="6"/>
  <c r="AZ14" i="6" s="1"/>
  <c r="AX15" i="6"/>
  <c r="AZ15" i="6" s="1"/>
  <c r="AX10" i="6"/>
  <c r="BC10" i="6" s="1"/>
  <c r="BE10" i="6" s="1"/>
  <c r="AX17" i="6"/>
  <c r="AY17" i="6" s="1"/>
  <c r="AX18" i="6"/>
  <c r="AY18" i="6" s="1"/>
  <c r="AX11" i="6"/>
  <c r="AZ11" i="6" s="1"/>
  <c r="AX16" i="6"/>
  <c r="AZ16" i="6" s="1"/>
  <c r="BA13" i="6"/>
  <c r="AF22" i="5"/>
  <c r="M19" i="5" s="1"/>
  <c r="J24" i="5"/>
  <c r="AE17" i="5"/>
  <c r="BA15" i="6" l="1"/>
  <c r="BA11" i="6"/>
  <c r="BA12" i="6"/>
  <c r="AZ19" i="6"/>
  <c r="AZ21" i="6"/>
  <c r="AY16" i="6"/>
  <c r="BC21" i="6"/>
  <c r="BE21" i="6" s="1"/>
  <c r="BA21" i="6"/>
  <c r="AY10" i="6"/>
  <c r="BA19" i="6"/>
  <c r="BC15" i="6"/>
  <c r="BE15" i="6" s="1"/>
  <c r="BC12" i="6"/>
  <c r="BE12" i="6" s="1"/>
  <c r="BC19" i="6"/>
  <c r="BE19" i="6" s="1"/>
  <c r="AY15" i="6"/>
  <c r="AY12" i="6"/>
  <c r="BA17" i="6"/>
  <c r="BA16" i="6"/>
  <c r="BA10" i="6"/>
  <c r="AY20" i="6"/>
  <c r="BC13" i="6"/>
  <c r="BE13" i="6" s="1"/>
  <c r="AZ20" i="6"/>
  <c r="BA14" i="6"/>
  <c r="BA20" i="6"/>
  <c r="BC16" i="6"/>
  <c r="BE16" i="6" s="1"/>
  <c r="AZ17" i="6"/>
  <c r="AZ10" i="6"/>
  <c r="BC14" i="6"/>
  <c r="BE14" i="6" s="1"/>
  <c r="AZ18" i="6"/>
  <c r="AY14" i="6"/>
  <c r="BA18" i="6"/>
  <c r="AY13" i="6"/>
  <c r="BC17" i="6"/>
  <c r="BE17" i="6" s="1"/>
  <c r="BC11" i="6"/>
  <c r="BE11" i="6" s="1"/>
  <c r="AY11" i="6"/>
  <c r="BC18" i="6"/>
  <c r="BE18" i="6" s="1"/>
  <c r="AE9" i="5"/>
  <c r="AL5" i="5"/>
  <c r="AH9" i="5"/>
  <c r="AF9" i="5"/>
  <c r="AF10" i="5" s="1"/>
  <c r="AE10" i="5"/>
  <c r="J19" i="5"/>
  <c r="P40" i="6" l="1"/>
  <c r="M43" i="6"/>
  <c r="E43" i="6"/>
  <c r="C43" i="6"/>
  <c r="P43" i="6"/>
  <c r="C40" i="6"/>
  <c r="M40" i="6"/>
  <c r="E40" i="6"/>
  <c r="AH10" i="5"/>
  <c r="AJ16" i="5"/>
  <c r="AL3" i="5"/>
  <c r="AN3" i="5" s="1"/>
  <c r="AE4" i="5"/>
  <c r="AE5" i="5" s="1"/>
  <c r="M25" i="5"/>
  <c r="AH4" i="5"/>
  <c r="AF4" i="5"/>
  <c r="AF5" i="5" s="1"/>
  <c r="I21" i="1"/>
  <c r="I20" i="1"/>
  <c r="I19" i="1"/>
  <c r="G15" i="1"/>
  <c r="I7" i="1"/>
  <c r="I8" i="1" s="1"/>
  <c r="D19" i="1"/>
  <c r="C19" i="1" s="1"/>
  <c r="G35" i="6" l="1"/>
  <c r="AC33" i="6"/>
  <c r="AB33" i="6"/>
  <c r="AB40" i="6"/>
  <c r="AC40" i="6"/>
  <c r="AC42" i="6"/>
  <c r="AB42" i="6"/>
  <c r="AL7" i="5"/>
  <c r="AN7" i="5" s="1"/>
  <c r="AH5" i="5"/>
  <c r="AI16" i="5"/>
  <c r="AE25" i="5"/>
  <c r="AD25" i="5" s="1"/>
  <c r="AE26" i="5"/>
  <c r="C25" i="5"/>
  <c r="C16" i="5"/>
  <c r="D20" i="1"/>
  <c r="C20" i="1" s="1"/>
  <c r="D21" i="1"/>
  <c r="C21" i="1" s="1"/>
  <c r="D4" i="1"/>
  <c r="D13" i="1" s="1"/>
  <c r="J36" i="6" l="1"/>
  <c r="AB34" i="6" s="1"/>
  <c r="K38" i="6"/>
  <c r="H38" i="6"/>
  <c r="E25" i="5"/>
  <c r="AD26" i="5"/>
  <c r="C13" i="1"/>
  <c r="G27" i="1"/>
  <c r="AB35" i="6" l="1"/>
  <c r="AC51" i="6" s="1"/>
  <c r="G38" i="6"/>
  <c r="AB36" i="6"/>
  <c r="AC53" i="6" s="1"/>
  <c r="J38" i="6"/>
  <c r="AC48" i="6"/>
  <c r="G42" i="6" s="1"/>
  <c r="AC52" i="6"/>
  <c r="AC47" i="6"/>
  <c r="G40" i="6" s="1"/>
  <c r="E36" i="1"/>
  <c r="G36" i="1" s="1"/>
  <c r="I36" i="1" s="1"/>
  <c r="E32" i="1"/>
  <c r="G32" i="1" s="1"/>
  <c r="I32" i="1" s="1"/>
  <c r="E35" i="1"/>
  <c r="G35" i="1" s="1"/>
  <c r="I35" i="1" s="1"/>
  <c r="E31" i="1"/>
  <c r="G31" i="1" s="1"/>
  <c r="I31" i="1" s="1"/>
  <c r="E38" i="1"/>
  <c r="G38" i="1" s="1"/>
  <c r="I38" i="1" s="1"/>
  <c r="E34" i="1"/>
  <c r="G34" i="1" s="1"/>
  <c r="I34" i="1" s="1"/>
  <c r="E37" i="1"/>
  <c r="G37" i="1" s="1"/>
  <c r="I37" i="1" s="1"/>
  <c r="E33" i="1"/>
  <c r="G33" i="1" s="1"/>
  <c r="I33" i="1" s="1"/>
  <c r="AC49" i="6" l="1"/>
  <c r="G43" i="6" s="1"/>
</calcChain>
</file>

<file path=xl/sharedStrings.xml><?xml version="1.0" encoding="utf-8"?>
<sst xmlns="http://schemas.openxmlformats.org/spreadsheetml/2006/main" count="227" uniqueCount="116">
  <si>
    <t>SUA DÍVIDA</t>
  </si>
  <si>
    <t>PROPOSTA DO CREDOR</t>
  </si>
  <si>
    <t>À VISTA</t>
  </si>
  <si>
    <t>ENTRADA</t>
  </si>
  <si>
    <t>DATA</t>
  </si>
  <si>
    <t>HOJE</t>
  </si>
  <si>
    <t>PARCELADO</t>
  </si>
  <si>
    <t>JUROS A.M.</t>
  </si>
  <si>
    <t>SALDO FINANCIADO</t>
  </si>
  <si>
    <t xml:space="preserve">Para quitar HOJE!  =&gt;&gt;&gt; </t>
  </si>
  <si>
    <t>NO FINAL, VOCÊ PAGARÁ...</t>
  </si>
  <si>
    <t>CUSTO ADICIONAL</t>
  </si>
  <si>
    <t>INSIRA AQUI A SUA DÍVIDA.</t>
  </si>
  <si>
    <t>Insira a proposta do Credor</t>
  </si>
  <si>
    <t>ALTERE ACIMA</t>
  </si>
  <si>
    <t>MODELO</t>
  </si>
  <si>
    <t>ANO</t>
  </si>
  <si>
    <t>VALOR DE MERCADO</t>
  </si>
  <si>
    <t>CONSUMO</t>
  </si>
  <si>
    <t>gasolina</t>
  </si>
  <si>
    <t>etanol</t>
  </si>
  <si>
    <t>cidade</t>
  </si>
  <si>
    <t>estrada</t>
  </si>
  <si>
    <t>MIN</t>
  </si>
  <si>
    <t>MAX</t>
  </si>
  <si>
    <t>QUILOMETRAGEM MÊS</t>
  </si>
  <si>
    <t>CUSTO GASOLINA</t>
  </si>
  <si>
    <t>R$ / LITRO</t>
  </si>
  <si>
    <t>CUSTO ETANOL</t>
  </si>
  <si>
    <t>GASOL</t>
  </si>
  <si>
    <t>ETAN</t>
  </si>
  <si>
    <t>consumo</t>
  </si>
  <si>
    <t>MÉDIO</t>
  </si>
  <si>
    <t>MÉDIA</t>
  </si>
  <si>
    <t>GAS</t>
  </si>
  <si>
    <t>VALORES
(GASOLINA)</t>
  </si>
  <si>
    <t>VALORES
(ALCOOL)</t>
  </si>
  <si>
    <t>MED</t>
  </si>
  <si>
    <t>QTDE DE LITROS GASTOS</t>
  </si>
  <si>
    <t>CONSUMO MENSAL</t>
  </si>
  <si>
    <t>R$ / LT</t>
  </si>
  <si>
    <t>KM/LT</t>
  </si>
  <si>
    <t>PREÇO VEICULO</t>
  </si>
  <si>
    <t>QTDE LITROS</t>
  </si>
  <si>
    <t>COMBUSTIVEL</t>
  </si>
  <si>
    <t>GASTO MENSAL</t>
  </si>
  <si>
    <t>QUAL VEICULO VOCÊ</t>
  </si>
  <si>
    <t>POSSUI HOJE ?</t>
  </si>
  <si>
    <t>DESEJA COMPRAR ?</t>
  </si>
  <si>
    <t>DE COMBUSTÍVEL</t>
  </si>
  <si>
    <t>MINIMO</t>
  </si>
  <si>
    <t>MAXIMO</t>
  </si>
  <si>
    <t>ECONOMIA ANUAL DE COMBUSTIVEL</t>
  </si>
  <si>
    <t>CONDIÇÃO DE 
RODAGEM DIÁRIA</t>
  </si>
  <si>
    <t>INVESTIMENTO NA TROCA DO VEICULO</t>
  </si>
  <si>
    <t>KM / LITRO</t>
  </si>
  <si>
    <t>MONTADORA</t>
  </si>
  <si>
    <t>Consumo ETANOL</t>
  </si>
  <si>
    <t>Consumo GASOLINA</t>
  </si>
  <si>
    <t>1,0L  - 16V  - AUTOMÁTICO - HIBRIDO</t>
  </si>
  <si>
    <t>DETALHES ESPECIFICOS DO SEU MODELO</t>
  </si>
  <si>
    <t>Qual seu perfil de rodagem?</t>
  </si>
  <si>
    <r>
      <t xml:space="preserve">CUSTO   </t>
    </r>
    <r>
      <rPr>
        <b/>
        <sz val="14"/>
        <color rgb="FF0000CC"/>
        <rFont val="Calibri"/>
        <family val="2"/>
        <scheme val="minor"/>
      </rPr>
      <t>GASOLINA</t>
    </r>
  </si>
  <si>
    <r>
      <t xml:space="preserve">CUSTO   </t>
    </r>
    <r>
      <rPr>
        <b/>
        <sz val="14"/>
        <color rgb="FF0000CC"/>
        <rFont val="Calibri"/>
        <family val="2"/>
        <scheme val="minor"/>
      </rPr>
      <t>ETANOL</t>
    </r>
  </si>
  <si>
    <t>min</t>
  </si>
  <si>
    <t>max</t>
  </si>
  <si>
    <t>X</t>
  </si>
  <si>
    <t>EQUIVALENCIA</t>
  </si>
  <si>
    <t>Qual sua quilometragem/mês ?</t>
  </si>
  <si>
    <t>PREÇO MAX GASOLINA</t>
  </si>
  <si>
    <t>PREÇO MAX ETANOL</t>
  </si>
  <si>
    <t>KM ATUAL</t>
  </si>
  <si>
    <t>VISITE NOSSO SITE:</t>
  </si>
  <si>
    <t>www.mudandopassoapasso.com.br</t>
  </si>
  <si>
    <t xml:space="preserve">E CONHEÇA NOSSO NOVO CURSO DE </t>
  </si>
  <si>
    <t>DESENVOLVIMENTO PESSOAL:</t>
  </si>
  <si>
    <t>ETANOL</t>
  </si>
  <si>
    <t>VELHO-GASTÃO</t>
  </si>
  <si>
    <t>SEMI-ECONOM</t>
  </si>
  <si>
    <t>SEMI-GASTÃO</t>
  </si>
  <si>
    <t>NOVO-ECONOMI</t>
  </si>
  <si>
    <t>NOVO-GASTÃO</t>
  </si>
  <si>
    <t>VELHO-ECONOM</t>
  </si>
  <si>
    <t>VEICULO ATUAL</t>
  </si>
  <si>
    <t>ESTE É O SEU GASTO</t>
  </si>
  <si>
    <t>CONDIÇÃO MÉDIA</t>
  </si>
  <si>
    <t>ESTE SERIA O SEU</t>
  </si>
  <si>
    <t>CUSTO COMBUSTÍVEL</t>
  </si>
  <si>
    <t>DO NOVO VEICULO:</t>
  </si>
  <si>
    <t>OBS</t>
  </si>
  <si>
    <t>PARA SUAS ANOTAÇÕES E PESQUISAS</t>
  </si>
  <si>
    <t>GASOLINA</t>
  </si>
  <si>
    <t>CONSUMO (KM/Litro)</t>
  </si>
  <si>
    <t>OBSERVAÇÕES</t>
  </si>
  <si>
    <t>BASE DE DADOS PARA SUA
TABELA DINÂMICA</t>
  </si>
  <si>
    <t>CIDADE
 Etanol</t>
  </si>
  <si>
    <t>ESTRADA
 Etanol</t>
  </si>
  <si>
    <t>CIDADE
 Gasolina</t>
  </si>
  <si>
    <t>ESTRADA
Gasolina</t>
  </si>
  <si>
    <t>Rótulos de Linha</t>
  </si>
  <si>
    <t>Total Geral</t>
  </si>
  <si>
    <t>LUIZ</t>
  </si>
  <si>
    <t>IZIDORO</t>
  </si>
  <si>
    <t>PROFESSOR</t>
  </si>
  <si>
    <t>(Tudo)</t>
  </si>
  <si>
    <t>(Vários itens)</t>
  </si>
  <si>
    <t>Média de CONSUMO   -       CIDADE GASOLINA</t>
  </si>
  <si>
    <t>Média de CONSUMO   -       ESTRADA GASOLINA</t>
  </si>
  <si>
    <t>Média de CONSUMO   -       CIDADE ETANOL</t>
  </si>
  <si>
    <t>Média de CONSUMO   -       ESTRADA ETANOL</t>
  </si>
  <si>
    <t>&lt;a href="https://br.freepik.com/vetores/logotipo"&gt;Logotipo vetor criado por freepik - br.freepik.com&lt;/a&gt;</t>
  </si>
  <si>
    <t>&lt;a href="https://br.freepik.com/vetores/carro"&gt;Carro vetor criado por freepik - br.freepik.com&lt;/a&gt;</t>
  </si>
  <si>
    <t>GASTO EXTRA ANUAL DE COMBUSTIVEL</t>
  </si>
  <si>
    <t>RETORNO DE VALORES NA TROCA</t>
  </si>
  <si>
    <t>PROF</t>
  </si>
  <si>
    <t>CARRO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</si>
</sst>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0.0%"/>
    <numFmt numFmtId="165" formatCode="0\ &quot;DIAS&quot;"/>
    <numFmt numFmtId="166" formatCode="0\ &quot;X&quot;"/>
    <numFmt numFmtId="167" formatCode="&quot;R$&quot;\ \ \ #,##0.00;\-&quot;R$&quot;\ #,##0.00"/>
    <numFmt numFmtId="168" formatCode="#,##0_ ;\-#,##0\ "/>
    <numFmt numFmtId="169" formatCode="&quot;R$&quot;\ \ \ #,##0.000;\-&quot;R$&quot;\ #,##0.000"/>
    <numFmt numFmtId="170" formatCode="0.0"/>
    <numFmt numFmtId="171" formatCode="&quot;R$&quot;\ #,##0.00"/>
    <numFmt numFmtId="172" formatCode="#,##0\ &quot;Km&quot;"/>
    <numFmt numFmtId="173" formatCode="0.0\ &quot;Km&quot;"/>
    <numFmt numFmtId="174" formatCode="0.00\ &quot;litros&quot;"/>
    <numFmt numFmtId="175" formatCode="&quot;R$&quot;\ #,##0.000;\-&quot;R$&quot;\ #,##0.000"/>
    <numFmt numFmtId="176" formatCode="0.0\ &quot;litros&quot;"/>
    <numFmt numFmtId="177" formatCode="0.00\ &quot;Km/lit&quot;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rgb="FF0000CC"/>
      <name val="Calibri"/>
      <family val="2"/>
      <scheme val="minor"/>
    </font>
    <font>
      <i/>
      <sz val="14"/>
      <color rgb="FF0000C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0000CC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i/>
      <sz val="14"/>
      <color rgb="FF0000CC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CC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u/>
      <sz val="10"/>
      <color rgb="FF0000CC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9"/>
      <color rgb="FF0000CC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71">
    <xf numFmtId="0" fontId="0" fillId="0" borderId="0" xfId="0"/>
    <xf numFmtId="7" fontId="4" fillId="0" borderId="1" xfId="1" applyNumberFormat="1" applyFont="1" applyBorder="1" applyAlignment="1" applyProtection="1">
      <alignment horizontal="center" vertical="center"/>
      <protection locked="0"/>
    </xf>
    <xf numFmtId="7" fontId="9" fillId="6" borderId="1" xfId="1" applyNumberFormat="1" applyFont="1" applyFill="1" applyBorder="1" applyAlignment="1" applyProtection="1">
      <alignment horizontal="center" vertical="center"/>
      <protection locked="0"/>
    </xf>
    <xf numFmtId="7" fontId="4" fillId="4" borderId="1" xfId="1" applyNumberFormat="1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4" fontId="14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7" fontId="4" fillId="0" borderId="1" xfId="1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164" fontId="5" fillId="0" borderId="0" xfId="2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65" fontId="7" fillId="3" borderId="0" xfId="0" applyNumberFormat="1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7" fontId="6" fillId="0" borderId="1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44" fontId="4" fillId="6" borderId="1" xfId="1" applyFont="1" applyFill="1" applyBorder="1" applyAlignment="1" applyProtection="1">
      <alignment horizontal="center" vertical="center"/>
      <protection hidden="1"/>
    </xf>
    <xf numFmtId="167" fontId="1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1" xfId="2" applyNumberFormat="1" applyFont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hidden="1"/>
    </xf>
    <xf numFmtId="168" fontId="6" fillId="0" borderId="1" xfId="0" applyNumberFormat="1" applyFont="1" applyBorder="1" applyAlignment="1" applyProtection="1">
      <alignment horizontal="center" vertical="center"/>
      <protection hidden="1"/>
    </xf>
    <xf numFmtId="168" fontId="6" fillId="6" borderId="1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7" fillId="8" borderId="0" xfId="0" applyFont="1" applyFill="1" applyBorder="1" applyAlignment="1" applyProtection="1">
      <alignment horizontal="center" vertical="top"/>
      <protection hidden="1"/>
    </xf>
    <xf numFmtId="0" fontId="17" fillId="9" borderId="0" xfId="0" applyFont="1" applyFill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7" fontId="0" fillId="0" borderId="1" xfId="0" applyNumberFormat="1" applyBorder="1" applyAlignment="1" applyProtection="1">
      <alignment horizontal="left" vertical="center" indent="1"/>
      <protection hidden="1"/>
    </xf>
    <xf numFmtId="7" fontId="0" fillId="10" borderId="1" xfId="0" applyNumberFormat="1" applyFill="1" applyBorder="1" applyAlignment="1" applyProtection="1">
      <alignment horizontal="left" vertical="center" indent="1"/>
      <protection hidden="1"/>
    </xf>
    <xf numFmtId="7" fontId="0" fillId="6" borderId="1" xfId="0" applyNumberFormat="1" applyFill="1" applyBorder="1" applyAlignment="1" applyProtection="1">
      <alignment horizontal="left" vertical="center" indent="1"/>
      <protection hidden="1"/>
    </xf>
    <xf numFmtId="44" fontId="0" fillId="0" borderId="1" xfId="1" applyFont="1" applyBorder="1" applyAlignment="1" applyProtection="1">
      <alignment vertical="center"/>
      <protection hidden="1"/>
    </xf>
    <xf numFmtId="167" fontId="0" fillId="0" borderId="1" xfId="1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0" fillId="12" borderId="0" xfId="0" applyFont="1" applyFill="1" applyAlignment="1" applyProtection="1">
      <alignment horizontal="center" vertical="center"/>
      <protection hidden="1"/>
    </xf>
    <xf numFmtId="7" fontId="0" fillId="13" borderId="1" xfId="0" applyNumberFormat="1" applyFill="1" applyBorder="1" applyAlignment="1" applyProtection="1">
      <alignment horizontal="left" vertical="center" indent="1"/>
      <protection hidden="1"/>
    </xf>
    <xf numFmtId="0" fontId="15" fillId="0" borderId="0" xfId="0" applyFont="1" applyProtection="1">
      <protection hidden="1"/>
    </xf>
    <xf numFmtId="0" fontId="0" fillId="0" borderId="0" xfId="0" applyBorder="1" applyAlignment="1" applyProtection="1">
      <alignment horizontal="center" vertical="top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17" fillId="17" borderId="0" xfId="0" applyFont="1" applyFill="1" applyBorder="1" applyAlignment="1" applyProtection="1">
      <alignment horizontal="center" vertical="top"/>
      <protection hidden="1"/>
    </xf>
    <xf numFmtId="0" fontId="17" fillId="10" borderId="0" xfId="0" applyFont="1" applyFill="1" applyBorder="1" applyAlignment="1" applyProtection="1">
      <alignment horizontal="center" vertical="top"/>
      <protection hidden="1"/>
    </xf>
    <xf numFmtId="0" fontId="15" fillId="16" borderId="0" xfId="0" applyFont="1" applyFill="1" applyBorder="1" applyAlignment="1" applyProtection="1">
      <alignment horizontal="center" vertical="top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top"/>
      <protection hidden="1"/>
    </xf>
    <xf numFmtId="0" fontId="26" fillId="5" borderId="0" xfId="0" applyFont="1" applyFill="1" applyBorder="1" applyAlignment="1" applyProtection="1">
      <alignment horizontal="center"/>
      <protection hidden="1"/>
    </xf>
    <xf numFmtId="0" fontId="26" fillId="5" borderId="0" xfId="0" applyFont="1" applyFill="1" applyBorder="1" applyAlignment="1" applyProtection="1">
      <alignment horizontal="center" vertical="top"/>
      <protection hidden="1"/>
    </xf>
    <xf numFmtId="0" fontId="21" fillId="18" borderId="0" xfId="0" applyFont="1" applyFill="1" applyBorder="1" applyAlignment="1" applyProtection="1">
      <alignment horizontal="center" vertical="top"/>
      <protection hidden="1"/>
    </xf>
    <xf numFmtId="0" fontId="17" fillId="0" borderId="0" xfId="0" applyFont="1" applyBorder="1" applyProtection="1">
      <protection hidden="1"/>
    </xf>
    <xf numFmtId="0" fontId="30" fillId="0" borderId="0" xfId="0" applyFont="1" applyBorder="1" applyProtection="1">
      <protection hidden="1"/>
    </xf>
    <xf numFmtId="172" fontId="12" fillId="0" borderId="0" xfId="0" applyNumberFormat="1" applyFont="1" applyAlignment="1" applyProtection="1">
      <alignment horizontal="center" vertical="top"/>
      <protection hidden="1"/>
    </xf>
    <xf numFmtId="173" fontId="12" fillId="0" borderId="0" xfId="0" applyNumberFormat="1" applyFont="1" applyBorder="1" applyAlignment="1" applyProtection="1">
      <alignment horizontal="center" vertical="top"/>
      <protection hidden="1"/>
    </xf>
    <xf numFmtId="174" fontId="0" fillId="0" borderId="0" xfId="0" applyNumberFormat="1" applyProtection="1">
      <protection hidden="1"/>
    </xf>
    <xf numFmtId="175" fontId="0" fillId="0" borderId="0" xfId="0" applyNumberFormat="1" applyProtection="1">
      <protection hidden="1"/>
    </xf>
    <xf numFmtId="175" fontId="0" fillId="17" borderId="0" xfId="0" applyNumberFormat="1" applyFill="1" applyProtection="1">
      <protection hidden="1"/>
    </xf>
    <xf numFmtId="175" fontId="0" fillId="15" borderId="0" xfId="0" applyNumberFormat="1" applyFill="1" applyProtection="1">
      <protection hidden="1"/>
    </xf>
    <xf numFmtId="175" fontId="0" fillId="20" borderId="0" xfId="0" applyNumberFormat="1" applyFill="1" applyProtection="1">
      <protection hidden="1"/>
    </xf>
    <xf numFmtId="175" fontId="0" fillId="19" borderId="0" xfId="0" applyNumberFormat="1" applyFill="1" applyProtection="1">
      <protection hidden="1"/>
    </xf>
    <xf numFmtId="169" fontId="0" fillId="0" borderId="0" xfId="0" applyNumberFormat="1" applyProtection="1">
      <protection hidden="1"/>
    </xf>
    <xf numFmtId="173" fontId="0" fillId="0" borderId="0" xfId="0" applyNumberFormat="1" applyProtection="1">
      <protection hidden="1"/>
    </xf>
    <xf numFmtId="0" fontId="30" fillId="0" borderId="0" xfId="0" applyFont="1" applyBorder="1" applyAlignment="1" applyProtection="1">
      <alignment vertical="top"/>
      <protection hidden="1"/>
    </xf>
    <xf numFmtId="175" fontId="12" fillId="0" borderId="0" xfId="0" applyNumberFormat="1" applyFont="1" applyAlignment="1" applyProtection="1">
      <alignment horizontal="center" vertical="top"/>
      <protection hidden="1"/>
    </xf>
    <xf numFmtId="0" fontId="0" fillId="6" borderId="0" xfId="0" applyFill="1" applyBorder="1" applyProtection="1">
      <protection hidden="1"/>
    </xf>
    <xf numFmtId="10" fontId="15" fillId="6" borderId="21" xfId="2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right" vertical="center"/>
      <protection hidden="1"/>
    </xf>
    <xf numFmtId="175" fontId="12" fillId="0" borderId="0" xfId="0" applyNumberFormat="1" applyFont="1" applyAlignment="1" applyProtection="1">
      <alignment horizontal="center"/>
      <protection hidden="1"/>
    </xf>
    <xf numFmtId="175" fontId="0" fillId="0" borderId="0" xfId="0" applyNumberFormat="1" applyAlignment="1" applyProtection="1">
      <alignment horizontal="center" vertical="center"/>
      <protection hidden="1"/>
    </xf>
    <xf numFmtId="169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32" fillId="0" borderId="0" xfId="0" applyFont="1" applyAlignment="1" applyProtection="1">
      <alignment horizontal="right"/>
      <protection hidden="1"/>
    </xf>
    <xf numFmtId="170" fontId="0" fillId="8" borderId="1" xfId="0" applyNumberFormat="1" applyFill="1" applyBorder="1" applyAlignment="1" applyProtection="1">
      <alignment horizontal="center" vertical="center"/>
      <protection hidden="1"/>
    </xf>
    <xf numFmtId="170" fontId="0" fillId="9" borderId="1" xfId="0" applyNumberFormat="1" applyFill="1" applyBorder="1" applyAlignment="1" applyProtection="1">
      <alignment horizontal="center" vertical="center"/>
      <protection hidden="1"/>
    </xf>
    <xf numFmtId="9" fontId="0" fillId="9" borderId="1" xfId="2" applyFont="1" applyFill="1" applyBorder="1" applyAlignment="1" applyProtection="1">
      <alignment horizontal="center" vertical="center"/>
      <protection hidden="1"/>
    </xf>
    <xf numFmtId="0" fontId="15" fillId="16" borderId="1" xfId="0" applyFont="1" applyFill="1" applyBorder="1" applyAlignment="1" applyProtection="1">
      <alignment horizontal="center" vertical="center"/>
      <protection locked="0" hidden="1"/>
    </xf>
    <xf numFmtId="0" fontId="17" fillId="10" borderId="1" xfId="0" applyFont="1" applyFill="1" applyBorder="1" applyAlignment="1" applyProtection="1">
      <alignment horizontal="center" vertical="center"/>
      <protection locked="0" hidden="1"/>
    </xf>
    <xf numFmtId="0" fontId="28" fillId="18" borderId="1" xfId="0" applyFont="1" applyFill="1" applyBorder="1" applyAlignment="1" applyProtection="1">
      <alignment horizontal="center" vertical="center"/>
      <protection locked="0" hidden="1"/>
    </xf>
    <xf numFmtId="0" fontId="29" fillId="17" borderId="1" xfId="0" applyFont="1" applyFill="1" applyBorder="1" applyAlignment="1" applyProtection="1">
      <alignment horizontal="center" vertical="center"/>
      <protection locked="0" hidden="1"/>
    </xf>
    <xf numFmtId="168" fontId="6" fillId="0" borderId="1" xfId="0" applyNumberFormat="1" applyFont="1" applyBorder="1" applyAlignment="1" applyProtection="1">
      <alignment horizontal="center" vertical="center"/>
      <protection locked="0" hidden="1"/>
    </xf>
    <xf numFmtId="9" fontId="0" fillId="8" borderId="1" xfId="2" applyFont="1" applyFill="1" applyBorder="1" applyAlignment="1" applyProtection="1">
      <alignment horizontal="center" vertical="center"/>
      <protection locked="0" hidden="1"/>
    </xf>
    <xf numFmtId="169" fontId="27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6" fillId="15" borderId="0" xfId="0" applyFont="1" applyFill="1" applyBorder="1" applyAlignment="1" applyProtection="1">
      <alignment horizontal="center"/>
      <protection hidden="1"/>
    </xf>
    <xf numFmtId="0" fontId="26" fillId="15" borderId="0" xfId="0" applyFont="1" applyFill="1" applyBorder="1" applyAlignment="1" applyProtection="1">
      <alignment horizontal="center" vertical="top"/>
      <protection hidden="1"/>
    </xf>
    <xf numFmtId="169" fontId="27" fillId="15" borderId="1" xfId="0" applyNumberFormat="1" applyFont="1" applyFill="1" applyBorder="1" applyAlignment="1" applyProtection="1">
      <alignment horizontal="center" vertical="center"/>
      <protection locked="0" hidden="1"/>
    </xf>
    <xf numFmtId="44" fontId="13" fillId="0" borderId="1" xfId="1" applyFont="1" applyBorder="1" applyAlignment="1" applyProtection="1">
      <alignment horizontal="center" vertical="center"/>
      <protection locked="0" hidden="1"/>
    </xf>
    <xf numFmtId="7" fontId="35" fillId="0" borderId="1" xfId="0" applyNumberFormat="1" applyFont="1" applyBorder="1" applyAlignment="1" applyProtection="1">
      <alignment horizontal="center" vertical="center"/>
      <protection locked="0" hidden="1"/>
    </xf>
    <xf numFmtId="172" fontId="34" fillId="0" borderId="1" xfId="0" applyNumberFormat="1" applyFont="1" applyBorder="1" applyAlignment="1" applyProtection="1">
      <alignment horizontal="center" vertical="center"/>
      <protection locked="0" hidden="1"/>
    </xf>
    <xf numFmtId="7" fontId="33" fillId="0" borderId="1" xfId="0" applyNumberFormat="1" applyFont="1" applyBorder="1" applyAlignment="1" applyProtection="1">
      <alignment horizontal="center" vertical="center"/>
      <protection locked="0" hidden="1"/>
    </xf>
    <xf numFmtId="49" fontId="35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14" fontId="14" fillId="0" borderId="0" xfId="0" applyNumberFormat="1" applyFont="1" applyBorder="1" applyAlignment="1" applyProtection="1">
      <alignment horizontal="center" vertical="center"/>
      <protection hidden="1"/>
    </xf>
    <xf numFmtId="0" fontId="38" fillId="16" borderId="0" xfId="0" applyFont="1" applyFill="1" applyBorder="1" applyAlignment="1" applyProtection="1">
      <alignment horizontal="center" vertical="top"/>
      <protection hidden="1"/>
    </xf>
    <xf numFmtId="0" fontId="38" fillId="10" borderId="0" xfId="0" applyFont="1" applyFill="1" applyBorder="1" applyAlignment="1" applyProtection="1">
      <alignment horizontal="center" vertical="top"/>
      <protection hidden="1"/>
    </xf>
    <xf numFmtId="0" fontId="38" fillId="18" borderId="0" xfId="0" applyFont="1" applyFill="1" applyBorder="1" applyAlignment="1" applyProtection="1">
      <alignment horizontal="center" vertical="top"/>
      <protection hidden="1"/>
    </xf>
    <xf numFmtId="7" fontId="0" fillId="0" borderId="0" xfId="0" applyNumberFormat="1" applyBorder="1" applyAlignment="1" applyProtection="1">
      <alignment horizontal="left" vertical="center" indent="1"/>
      <protection hidden="1"/>
    </xf>
    <xf numFmtId="168" fontId="40" fillId="0" borderId="1" xfId="0" applyNumberFormat="1" applyFont="1" applyBorder="1" applyAlignment="1" applyProtection="1">
      <alignment horizontal="center" vertical="center"/>
      <protection locked="0" hidden="1"/>
    </xf>
    <xf numFmtId="0" fontId="12" fillId="21" borderId="0" xfId="0" applyFont="1" applyFill="1" applyAlignment="1" applyProtection="1">
      <alignment horizontal="center" vertical="center"/>
      <protection hidden="1"/>
    </xf>
    <xf numFmtId="172" fontId="12" fillId="21" borderId="0" xfId="0" applyNumberFormat="1" applyFont="1" applyFill="1" applyAlignment="1" applyProtection="1">
      <alignment horizontal="center" vertical="center"/>
      <protection hidden="1"/>
    </xf>
    <xf numFmtId="0" fontId="38" fillId="17" borderId="0" xfId="0" applyFont="1" applyFill="1" applyBorder="1" applyAlignment="1" applyProtection="1">
      <alignment horizontal="center" vertical="top"/>
      <protection hidden="1"/>
    </xf>
    <xf numFmtId="0" fontId="2" fillId="21" borderId="0" xfId="0" applyFont="1" applyFill="1" applyAlignment="1" applyProtection="1">
      <alignment horizontal="center" vertical="center"/>
      <protection hidden="1"/>
    </xf>
    <xf numFmtId="44" fontId="0" fillId="0" borderId="0" xfId="0" applyNumberForma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1" fontId="0" fillId="8" borderId="1" xfId="0" applyNumberFormat="1" applyFill="1" applyBorder="1" applyAlignment="1" applyProtection="1">
      <alignment horizontal="center" vertical="center"/>
      <protection hidden="1"/>
    </xf>
    <xf numFmtId="1" fontId="16" fillId="11" borderId="1" xfId="0" applyNumberFormat="1" applyFont="1" applyFill="1" applyBorder="1" applyAlignment="1" applyProtection="1">
      <alignment horizontal="center" vertical="center"/>
      <protection hidden="1"/>
    </xf>
    <xf numFmtId="169" fontId="22" fillId="8" borderId="1" xfId="1" applyNumberFormat="1" applyFont="1" applyFill="1" applyBorder="1" applyAlignment="1" applyProtection="1">
      <alignment horizontal="center" vertical="center"/>
      <protection hidden="1"/>
    </xf>
    <xf numFmtId="1" fontId="21" fillId="7" borderId="1" xfId="0" applyNumberFormat="1" applyFont="1" applyFill="1" applyBorder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center" vertical="center"/>
      <protection hidden="1"/>
    </xf>
    <xf numFmtId="169" fontId="22" fillId="9" borderId="1" xfId="1" applyNumberFormat="1" applyFont="1" applyFill="1" applyBorder="1" applyAlignment="1" applyProtection="1">
      <alignment horizontal="center" vertical="center"/>
      <protection hidden="1"/>
    </xf>
    <xf numFmtId="0" fontId="0" fillId="6" borderId="15" xfId="0" applyFill="1" applyBorder="1" applyProtection="1">
      <protection hidden="1"/>
    </xf>
    <xf numFmtId="0" fontId="3" fillId="6" borderId="11" xfId="0" applyFont="1" applyFill="1" applyBorder="1" applyProtection="1">
      <protection hidden="1"/>
    </xf>
    <xf numFmtId="0" fontId="3" fillId="6" borderId="12" xfId="0" applyFont="1" applyFill="1" applyBorder="1" applyProtection="1">
      <protection hidden="1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17" xfId="0" applyFill="1" applyBorder="1" applyProtection="1">
      <protection hidden="1"/>
    </xf>
    <xf numFmtId="0" fontId="3" fillId="6" borderId="13" xfId="0" applyFont="1" applyFill="1" applyBorder="1" applyProtection="1">
      <protection hidden="1"/>
    </xf>
    <xf numFmtId="0" fontId="3" fillId="6" borderId="14" xfId="0" applyFont="1" applyFill="1" applyBorder="1" applyProtection="1">
      <protection hidden="1"/>
    </xf>
    <xf numFmtId="44" fontId="8" fillId="22" borderId="1" xfId="1" applyFont="1" applyFill="1" applyBorder="1" applyAlignment="1" applyProtection="1">
      <alignment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171" fontId="44" fillId="21" borderId="0" xfId="0" applyNumberFormat="1" applyFont="1" applyFill="1" applyBorder="1" applyAlignment="1" applyProtection="1">
      <alignment horizontal="center" vertical="center"/>
      <protection hidden="1"/>
    </xf>
    <xf numFmtId="0" fontId="24" fillId="10" borderId="0" xfId="0" applyFont="1" applyFill="1" applyBorder="1" applyAlignment="1" applyProtection="1">
      <alignment horizontal="left"/>
      <protection hidden="1"/>
    </xf>
    <xf numFmtId="0" fontId="0" fillId="16" borderId="15" xfId="0" applyFill="1" applyBorder="1" applyAlignment="1" applyProtection="1">
      <alignment horizontal="center" vertical="center"/>
      <protection hidden="1"/>
    </xf>
    <xf numFmtId="0" fontId="24" fillId="10" borderId="0" xfId="0" applyFont="1" applyFill="1" applyBorder="1" applyAlignment="1" applyProtection="1">
      <alignment horizontal="center"/>
      <protection hidden="1"/>
    </xf>
    <xf numFmtId="0" fontId="5" fillId="10" borderId="0" xfId="0" applyFont="1" applyFill="1" applyBorder="1" applyAlignment="1" applyProtection="1">
      <alignment horizontal="center" vertical="top"/>
      <protection hidden="1"/>
    </xf>
    <xf numFmtId="44" fontId="3" fillId="16" borderId="17" xfId="1" applyFont="1" applyFill="1" applyBorder="1" applyProtection="1">
      <protection hidden="1"/>
    </xf>
    <xf numFmtId="0" fontId="24" fillId="3" borderId="0" xfId="0" applyFont="1" applyFill="1" applyBorder="1" applyAlignment="1" applyProtection="1">
      <alignment horizontal="left"/>
      <protection hidden="1"/>
    </xf>
    <xf numFmtId="0" fontId="0" fillId="17" borderId="15" xfId="0" applyFill="1" applyBorder="1" applyAlignment="1" applyProtection="1">
      <alignment horizontal="center" vertical="center"/>
      <protection hidden="1"/>
    </xf>
    <xf numFmtId="0" fontId="24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 vertical="top"/>
      <protection hidden="1"/>
    </xf>
    <xf numFmtId="44" fontId="3" fillId="17" borderId="17" xfId="1" applyFont="1" applyFill="1" applyBorder="1" applyProtection="1">
      <protection hidden="1"/>
    </xf>
    <xf numFmtId="0" fontId="15" fillId="0" borderId="1" xfId="0" applyFont="1" applyBorder="1" applyAlignment="1" applyProtection="1">
      <alignment horizontal="center" vertical="center"/>
      <protection locked="0" hidden="1"/>
    </xf>
    <xf numFmtId="7" fontId="6" fillId="0" borderId="1" xfId="0" applyNumberFormat="1" applyFont="1" applyBorder="1" applyAlignment="1" applyProtection="1">
      <alignment horizontal="center" vertical="center"/>
      <protection locked="0" hidden="1"/>
    </xf>
    <xf numFmtId="173" fontId="0" fillId="23" borderId="1" xfId="0" applyNumberFormat="1" applyFill="1" applyBorder="1" applyAlignment="1" applyProtection="1">
      <alignment horizontal="right" vertical="center" indent="1"/>
      <protection locked="0" hidden="1"/>
    </xf>
    <xf numFmtId="173" fontId="0" fillId="10" borderId="1" xfId="0" applyNumberFormat="1" applyFill="1" applyBorder="1" applyAlignment="1" applyProtection="1">
      <alignment horizontal="right" vertical="center" indent="1"/>
      <protection locked="0" hidden="1"/>
    </xf>
    <xf numFmtId="173" fontId="0" fillId="18" borderId="1" xfId="0" applyNumberFormat="1" applyFill="1" applyBorder="1" applyAlignment="1" applyProtection="1">
      <alignment horizontal="right" vertical="center" indent="1"/>
      <protection locked="0" hidden="1"/>
    </xf>
    <xf numFmtId="173" fontId="0" fillId="17" borderId="1" xfId="0" applyNumberFormat="1" applyFill="1" applyBorder="1" applyAlignment="1" applyProtection="1">
      <alignment horizontal="right" vertical="center" indent="1"/>
      <protection locked="0" hidden="1"/>
    </xf>
    <xf numFmtId="0" fontId="0" fillId="0" borderId="0" xfId="0" applyBorder="1" applyProtection="1">
      <protection locked="0" hidden="1"/>
    </xf>
    <xf numFmtId="173" fontId="0" fillId="0" borderId="1" xfId="0" applyNumberFormat="1" applyFill="1" applyBorder="1" applyAlignment="1" applyProtection="1">
      <alignment horizontal="right" vertical="center" indent="1"/>
      <protection locked="0" hidden="1"/>
    </xf>
    <xf numFmtId="0" fontId="17" fillId="8" borderId="0" xfId="0" applyFont="1" applyFill="1" applyAlignment="1" applyProtection="1">
      <alignment horizontal="center" vertical="center"/>
      <protection hidden="1"/>
    </xf>
    <xf numFmtId="171" fontId="43" fillId="8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44" fontId="48" fillId="0" borderId="1" xfId="1" applyFont="1" applyBorder="1" applyAlignment="1" applyProtection="1">
      <alignment horizontal="center" vertical="center"/>
      <protection locked="0" hidden="1"/>
    </xf>
    <xf numFmtId="173" fontId="2" fillId="3" borderId="1" xfId="0" applyNumberFormat="1" applyFont="1" applyFill="1" applyBorder="1" applyAlignment="1" applyProtection="1">
      <alignment horizontal="right" vertical="center" indent="1"/>
      <protection locked="0" hidden="1"/>
    </xf>
    <xf numFmtId="173" fontId="17" fillId="10" borderId="1" xfId="0" applyNumberFormat="1" applyFont="1" applyFill="1" applyBorder="1" applyAlignment="1" applyProtection="1">
      <alignment horizontal="right" vertical="center" indent="1"/>
      <protection locked="0"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/>
    <xf numFmtId="177" fontId="0" fillId="0" borderId="1" xfId="0" applyNumberFormat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77" fontId="49" fillId="0" borderId="1" xfId="0" applyNumberFormat="1" applyFont="1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5" fillId="0" borderId="1" xfId="0" applyFont="1" applyBorder="1" applyAlignment="1">
      <alignment vertical="center"/>
    </xf>
    <xf numFmtId="0" fontId="50" fillId="0" borderId="0" xfId="0" applyFont="1" applyProtection="1">
      <protection hidden="1"/>
    </xf>
    <xf numFmtId="0" fontId="3" fillId="6" borderId="17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left" vertical="center" indent="1"/>
      <protection locked="0" hidden="1"/>
    </xf>
    <xf numFmtId="0" fontId="0" fillId="0" borderId="22" xfId="0" applyBorder="1" applyAlignment="1" applyProtection="1">
      <alignment horizontal="left" vertical="center" indent="1"/>
      <protection locked="0" hidden="1"/>
    </xf>
    <xf numFmtId="0" fontId="0" fillId="0" borderId="20" xfId="0" applyBorder="1" applyAlignment="1" applyProtection="1">
      <alignment horizontal="left" vertical="center" indent="1"/>
      <protection locked="0" hidden="1"/>
    </xf>
    <xf numFmtId="0" fontId="2" fillId="0" borderId="23" xfId="0" applyFont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36" fillId="0" borderId="0" xfId="3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10" fontId="32" fillId="0" borderId="24" xfId="2" applyNumberFormat="1" applyFont="1" applyBorder="1" applyAlignment="1" applyProtection="1">
      <alignment horizontal="center" vertical="center"/>
      <protection hidden="1"/>
    </xf>
    <xf numFmtId="10" fontId="32" fillId="0" borderId="0" xfId="2" applyNumberFormat="1" applyFont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top" wrapText="1"/>
      <protection hidden="1"/>
    </xf>
    <xf numFmtId="0" fontId="30" fillId="0" borderId="23" xfId="0" applyFont="1" applyBorder="1" applyAlignment="1" applyProtection="1">
      <alignment horizontal="center" vertical="top" wrapText="1"/>
      <protection hidden="1"/>
    </xf>
    <xf numFmtId="0" fontId="15" fillId="14" borderId="0" xfId="0" applyFont="1" applyFill="1" applyBorder="1" applyAlignment="1" applyProtection="1">
      <alignment horizontal="center" vertical="center" wrapText="1"/>
      <protection hidden="1"/>
    </xf>
    <xf numFmtId="0" fontId="15" fillId="14" borderId="2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14" fontId="14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8" fillId="10" borderId="1" xfId="0" applyFont="1" applyFill="1" applyBorder="1" applyAlignment="1" applyProtection="1">
      <alignment horizontal="center"/>
      <protection hidden="1"/>
    </xf>
    <xf numFmtId="0" fontId="37" fillId="10" borderId="1" xfId="0" applyFont="1" applyFill="1" applyBorder="1" applyAlignment="1" applyProtection="1">
      <alignment horizontal="center" vertical="top"/>
      <protection hidden="1"/>
    </xf>
    <xf numFmtId="169" fontId="19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17" borderId="1" xfId="0" applyFont="1" applyFill="1" applyBorder="1" applyAlignment="1" applyProtection="1">
      <alignment horizontal="center"/>
      <protection hidden="1"/>
    </xf>
    <xf numFmtId="0" fontId="37" fillId="17" borderId="1" xfId="0" applyFont="1" applyFill="1" applyBorder="1" applyAlignment="1" applyProtection="1">
      <alignment horizontal="center" vertical="top"/>
      <protection hidden="1"/>
    </xf>
    <xf numFmtId="169" fontId="19" fillId="17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9" xfId="0" applyFont="1" applyBorder="1" applyAlignment="1" applyProtection="1">
      <alignment horizontal="center" vertical="center"/>
      <protection locked="0" hidden="1"/>
    </xf>
    <xf numFmtId="0" fontId="8" fillId="0" borderId="20" xfId="0" applyFont="1" applyBorder="1" applyAlignment="1" applyProtection="1">
      <alignment horizontal="center" vertical="center"/>
      <protection locked="0" hidden="1"/>
    </xf>
    <xf numFmtId="44" fontId="8" fillId="22" borderId="19" xfId="1" applyFont="1" applyFill="1" applyBorder="1" applyAlignment="1" applyProtection="1">
      <alignment horizontal="center" vertical="center"/>
      <protection hidden="1"/>
    </xf>
    <xf numFmtId="44" fontId="8" fillId="22" borderId="20" xfId="1" applyFont="1" applyFill="1" applyBorder="1" applyAlignment="1" applyProtection="1">
      <alignment horizontal="center" vertical="center"/>
      <protection hidden="1"/>
    </xf>
    <xf numFmtId="44" fontId="0" fillId="6" borderId="0" xfId="0" applyNumberFormat="1" applyFill="1" applyAlignment="1" applyProtection="1">
      <alignment horizontal="center" vertical="center" textRotation="90" wrapText="1"/>
      <protection hidden="1"/>
    </xf>
    <xf numFmtId="44" fontId="0" fillId="10" borderId="0" xfId="0" applyNumberFormat="1" applyFill="1" applyAlignment="1" applyProtection="1">
      <alignment horizontal="center" vertical="center" textRotation="90" wrapText="1"/>
      <protection hidden="1"/>
    </xf>
    <xf numFmtId="0" fontId="3" fillId="6" borderId="18" xfId="0" applyFont="1" applyFill="1" applyBorder="1" applyAlignment="1" applyProtection="1">
      <alignment horizontal="center"/>
      <protection hidden="1"/>
    </xf>
    <xf numFmtId="0" fontId="3" fillId="6" borderId="10" xfId="0" applyFont="1" applyFill="1" applyBorder="1" applyAlignment="1" applyProtection="1">
      <alignment horizontal="center"/>
      <protection hidden="1"/>
    </xf>
    <xf numFmtId="0" fontId="51" fillId="0" borderId="0" xfId="3" applyFont="1" applyAlignment="1" applyProtection="1">
      <alignment horizontal="center" vertical="center"/>
      <protection hidden="1"/>
    </xf>
    <xf numFmtId="171" fontId="46" fillId="0" borderId="0" xfId="0" applyNumberFormat="1" applyFont="1" applyBorder="1" applyAlignment="1" applyProtection="1">
      <alignment horizontal="center" vertical="center"/>
      <protection hidden="1"/>
    </xf>
    <xf numFmtId="44" fontId="13" fillId="0" borderId="1" xfId="1" applyFont="1" applyBorder="1" applyAlignment="1" applyProtection="1">
      <alignment horizontal="center" vertical="center"/>
      <protection locked="0" hidden="1"/>
    </xf>
    <xf numFmtId="0" fontId="45" fillId="0" borderId="0" xfId="0" applyFont="1" applyBorder="1" applyAlignment="1" applyProtection="1">
      <alignment horizontal="center" vertical="top"/>
      <protection hidden="1"/>
    </xf>
    <xf numFmtId="0" fontId="39" fillId="21" borderId="0" xfId="0" applyFont="1" applyFill="1" applyBorder="1" applyAlignment="1" applyProtection="1">
      <alignment horizontal="center" vertical="center" wrapText="1"/>
      <protection hidden="1"/>
    </xf>
    <xf numFmtId="0" fontId="39" fillId="21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47" fillId="0" borderId="0" xfId="0" applyFont="1" applyBorder="1" applyAlignment="1" applyProtection="1">
      <alignment horizontal="center"/>
      <protection hidden="1"/>
    </xf>
    <xf numFmtId="0" fontId="23" fillId="9" borderId="2" xfId="0" applyFont="1" applyFill="1" applyBorder="1" applyAlignment="1" applyProtection="1">
      <alignment horizontal="center" vertical="center"/>
      <protection locked="0" hidden="1"/>
    </xf>
    <xf numFmtId="0" fontId="23" fillId="9" borderId="4" xfId="0" applyFont="1" applyFill="1" applyBorder="1" applyAlignment="1" applyProtection="1">
      <alignment horizontal="center" vertical="center"/>
      <protection locked="0" hidden="1"/>
    </xf>
    <xf numFmtId="0" fontId="23" fillId="9" borderId="7" xfId="0" applyFont="1" applyFill="1" applyBorder="1" applyAlignment="1" applyProtection="1">
      <alignment horizontal="center" vertical="center"/>
      <protection locked="0" hidden="1"/>
    </xf>
    <xf numFmtId="0" fontId="23" fillId="9" borderId="9" xfId="0" applyFont="1" applyFill="1" applyBorder="1" applyAlignment="1" applyProtection="1">
      <alignment horizontal="center" vertical="center"/>
      <protection locked="0" hidden="1"/>
    </xf>
    <xf numFmtId="0" fontId="0" fillId="7" borderId="0" xfId="0" applyFill="1" applyAlignment="1" applyProtection="1">
      <alignment horizontal="right" vertical="center"/>
      <protection hidden="1"/>
    </xf>
    <xf numFmtId="44" fontId="8" fillId="7" borderId="0" xfId="0" applyNumberFormat="1" applyFont="1" applyFill="1" applyAlignment="1" applyProtection="1">
      <alignment horizontal="center"/>
      <protection hidden="1"/>
    </xf>
    <xf numFmtId="0" fontId="8" fillId="7" borderId="0" xfId="0" applyFont="1" applyFill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171" fontId="41" fillId="0" borderId="0" xfId="0" applyNumberFormat="1" applyFont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0" fillId="17" borderId="11" xfId="0" applyFill="1" applyBorder="1" applyAlignment="1" applyProtection="1">
      <alignment horizontal="center" vertical="center"/>
      <protection hidden="1"/>
    </xf>
    <xf numFmtId="0" fontId="0" fillId="17" borderId="12" xfId="0" applyFill="1" applyBorder="1" applyAlignment="1" applyProtection="1">
      <alignment horizontal="center" vertical="center"/>
      <protection hidden="1"/>
    </xf>
    <xf numFmtId="44" fontId="3" fillId="17" borderId="13" xfId="1" applyFont="1" applyFill="1" applyBorder="1" applyAlignment="1" applyProtection="1">
      <alignment horizontal="center"/>
      <protection hidden="1"/>
    </xf>
    <xf numFmtId="44" fontId="3" fillId="17" borderId="14" xfId="1" applyFont="1" applyFill="1" applyBorder="1" applyAlignment="1" applyProtection="1">
      <alignment horizontal="center"/>
      <protection hidden="1"/>
    </xf>
    <xf numFmtId="0" fontId="0" fillId="16" borderId="11" xfId="0" applyFill="1" applyBorder="1" applyAlignment="1" applyProtection="1">
      <alignment horizontal="center" vertical="center"/>
      <protection hidden="1"/>
    </xf>
    <xf numFmtId="0" fontId="0" fillId="16" borderId="12" xfId="0" applyFill="1" applyBorder="1" applyAlignment="1" applyProtection="1">
      <alignment horizontal="center" vertical="center"/>
      <protection hidden="1"/>
    </xf>
    <xf numFmtId="44" fontId="3" fillId="16" borderId="13" xfId="1" applyFont="1" applyFill="1" applyBorder="1" applyAlignment="1" applyProtection="1">
      <alignment horizontal="center"/>
      <protection hidden="1"/>
    </xf>
    <xf numFmtId="44" fontId="3" fillId="16" borderId="14" xfId="1" applyFont="1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3" fillId="6" borderId="13" xfId="0" applyFont="1" applyFill="1" applyBorder="1" applyAlignment="1" applyProtection="1">
      <alignment horizontal="center" vertical="center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171" fontId="42" fillId="0" borderId="0" xfId="0" applyNumberFormat="1" applyFont="1" applyBorder="1" applyAlignment="1" applyProtection="1">
      <alignment horizontal="center" vertical="center"/>
      <protection hidden="1"/>
    </xf>
    <xf numFmtId="0" fontId="31" fillId="0" borderId="28" xfId="0" applyFont="1" applyBorder="1" applyAlignment="1" applyProtection="1">
      <alignment horizontal="center" vertical="center" wrapText="1"/>
      <protection hidden="1"/>
    </xf>
    <xf numFmtId="0" fontId="31" fillId="0" borderId="29" xfId="0" applyFont="1" applyBorder="1" applyAlignment="1" applyProtection="1">
      <alignment horizontal="center" vertical="center" wrapText="1"/>
      <protection hidden="1"/>
    </xf>
    <xf numFmtId="0" fontId="31" fillId="0" borderId="30" xfId="0" applyFont="1" applyBorder="1" applyAlignment="1" applyProtection="1">
      <alignment horizontal="center" vertical="center" wrapText="1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39">
    <dxf>
      <font>
        <u/>
      </font>
    </dxf>
    <dxf>
      <font>
        <b/>
      </font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indent="0" readingOrder="0"/>
    </dxf>
    <dxf>
      <alignment vertical="center" indent="0" readingOrder="0"/>
    </dxf>
    <dxf>
      <alignment horizontal="general" readingOrder="0"/>
    </dxf>
    <dxf>
      <alignment horizontal="center" readingOrder="0"/>
    </dxf>
    <dxf>
      <font>
        <color rgb="FFFF000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4"/>
      </font>
    </dxf>
    <dxf>
      <numFmt numFmtId="177" formatCode="0.00\ &quot;Km/lit&quot;"/>
    </dxf>
    <dxf>
      <font>
        <color rgb="FF0000CC"/>
      </font>
    </dxf>
    <dxf>
      <alignment vertical="center" readingOrder="0"/>
    </dxf>
    <dxf>
      <alignment horizontal="center" readingOrder="0"/>
    </dxf>
    <dxf>
      <numFmt numFmtId="177" formatCode="0.00\ &quot;Km/lit&quot;"/>
    </dxf>
    <dxf>
      <alignment horizontal="center" readingOrder="0"/>
    </dxf>
    <dxf>
      <alignment wrapText="1" readingOrder="0"/>
    </dxf>
    <dxf>
      <alignment vertical="center" readingOrder="0"/>
    </dxf>
    <dxf>
      <fill>
        <patternFill>
          <bgColor rgb="FFFFFF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7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00CC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0000CC"/>
        </patternFill>
      </fill>
    </dxf>
  </dxfs>
  <tableStyles count="0" defaultTableStyle="TableStyleMedium2" defaultPivotStyle="PivotStyleLight16"/>
  <colors>
    <mruColors>
      <color rgb="FF0000CC"/>
      <color rgb="FFDEF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36411214936496E-2"/>
          <c:y val="0.10801966777573045"/>
          <c:w val="0.92394845706015138"/>
          <c:h val="0.72598648516365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rgbClr val="0000CC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8575">
                <a:solidFill>
                  <a:srgbClr val="0000CC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 w="28575">
                <a:solidFill>
                  <a:srgbClr val="0000CC"/>
                </a:solidFill>
              </a:ln>
              <a:effectLst/>
            </c:spPr>
          </c:dPt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32432432432429"/>
                      <c:h val="0.1345826860787623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2.0270270270270271E-2"/>
                  <c:y val="-2.454992449448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10810810810812"/>
                      <c:h val="0.165049335682909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'QUAL É O CONSUMO'!$AI$15:$AJ$15</c:f>
              <c:numCache>
                <c:formatCode>"R$"\ \ \ #,##0.000;\-"R$"\ #,##0.000</c:formatCode>
                <c:ptCount val="2"/>
                <c:pt idx="0">
                  <c:v>3.8</c:v>
                </c:pt>
                <c:pt idx="1">
                  <c:v>2.65</c:v>
                </c:pt>
              </c:numCache>
            </c:numRef>
          </c:cat>
          <c:val>
            <c:numRef>
              <c:f>'QUAL É O CONSUMO'!$AI$16:$AJ$16</c:f>
              <c:numCache>
                <c:formatCode>0.0\ "litros"</c:formatCode>
                <c:ptCount val="2"/>
                <c:pt idx="0">
                  <c:v>32.467532467532472</c:v>
                </c:pt>
                <c:pt idx="1">
                  <c:v>79.787234042553195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959480"/>
        <c:axId val="182956344"/>
      </c:barChart>
      <c:catAx>
        <c:axId val="182959480"/>
        <c:scaling>
          <c:orientation val="minMax"/>
        </c:scaling>
        <c:delete val="0"/>
        <c:axPos val="b"/>
        <c:numFmt formatCode="_(&quot;R$&quot;* #,##0.00_);_(&quot;R$&quot;* \(#,##0.00\);_(&quot;R$&quot;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956344"/>
        <c:crosses val="autoZero"/>
        <c:auto val="1"/>
        <c:lblAlgn val="ctr"/>
        <c:lblOffset val="100"/>
        <c:noMultiLvlLbl val="0"/>
      </c:catAx>
      <c:valAx>
        <c:axId val="182956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&quot;litros&quot;" sourceLinked="1"/>
        <c:majorTickMark val="none"/>
        <c:minorTickMark val="none"/>
        <c:tickLblPos val="nextTo"/>
        <c:crossAx val="18295948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CUSTO MENSAL GASOLINA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949430623496586"/>
          <c:y val="0.22325438611674794"/>
          <c:w val="0.83074667270783698"/>
          <c:h val="0.7056249000899063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numFmt formatCode="_(&quot;R$&quot;* #,##0_);_(&quot;R$&quot;* \(#,##0\);_(&quot;R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'QUAL É O CONSUMO'!$AE$3:$AF$3</c:f>
              <c:strCache>
                <c:ptCount val="2"/>
                <c:pt idx="0">
                  <c:v>min</c:v>
                </c:pt>
                <c:pt idx="1">
                  <c:v>max</c:v>
                </c:pt>
              </c:strCache>
            </c:strRef>
          </c:cat>
          <c:val>
            <c:numRef>
              <c:f>'QUAL É O CONSUMO'!$AE$5:$AF$5</c:f>
              <c:numCache>
                <c:formatCode>"R$"\ #,##0.000;\-"R$"\ #,##0.000</c:formatCode>
                <c:ptCount val="2"/>
                <c:pt idx="0">
                  <c:v>82.251082251082252</c:v>
                </c:pt>
                <c:pt idx="1">
                  <c:v>164.5021645021645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2957128"/>
        <c:axId val="229700560"/>
      </c:barChart>
      <c:catAx>
        <c:axId val="182957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9700560"/>
        <c:crosses val="autoZero"/>
        <c:auto val="1"/>
        <c:lblAlgn val="ctr"/>
        <c:lblOffset val="100"/>
        <c:noMultiLvlLbl val="0"/>
      </c:catAx>
      <c:valAx>
        <c:axId val="2297005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0;\-&quot;R$&quot;\ #,##0.000" sourceLinked="1"/>
        <c:majorTickMark val="none"/>
        <c:minorTickMark val="none"/>
        <c:tickLblPos val="nextTo"/>
        <c:crossAx val="18295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CO</a:t>
            </a:r>
            <a:r>
              <a:rPr lang="pt-BR" sz="1500"/>
              <a:t>NSUMO MENSAL ETANOL</a:t>
            </a:r>
          </a:p>
        </c:rich>
      </c:tx>
      <c:layout>
        <c:manualLayout>
          <c:xMode val="edge"/>
          <c:yMode val="edge"/>
          <c:x val="0.10783682476749747"/>
          <c:y val="3.3828756480066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0"/>
              <c:numFmt formatCode="&quot;R$&quot;\ 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&quot;R$&quot;\ 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'QUAL É O CONSUMO'!$AE$3:$AF$3</c:f>
              <c:strCache>
                <c:ptCount val="2"/>
                <c:pt idx="0">
                  <c:v>min</c:v>
                </c:pt>
                <c:pt idx="1">
                  <c:v>max</c:v>
                </c:pt>
              </c:strCache>
            </c:strRef>
          </c:cat>
          <c:val>
            <c:numRef>
              <c:f>'QUAL É O CONSUMO'!$AE$10:$AF$10</c:f>
              <c:numCache>
                <c:formatCode>"R$"\ #,##0.000;\-"R$"\ #,##0.000</c:formatCode>
                <c:ptCount val="2"/>
                <c:pt idx="0">
                  <c:v>140.95744680851064</c:v>
                </c:pt>
                <c:pt idx="1">
                  <c:v>281.91489361702128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29704088"/>
        <c:axId val="229696640"/>
      </c:barChart>
      <c:catAx>
        <c:axId val="229704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9696640"/>
        <c:crosses val="autoZero"/>
        <c:auto val="1"/>
        <c:lblAlgn val="ctr"/>
        <c:lblOffset val="100"/>
        <c:noMultiLvlLbl val="0"/>
      </c:catAx>
      <c:valAx>
        <c:axId val="229696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0;\-&quot;R$&quot;\ #,##0.000" sourceLinked="1"/>
        <c:majorTickMark val="none"/>
        <c:minorTickMark val="none"/>
        <c:tickLblPos val="nextTo"/>
        <c:crossAx val="22970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chart" Target="../charts/chart3.xml"/><Relationship Id="rId10" Type="http://schemas.openxmlformats.org/officeDocument/2006/relationships/hyperlink" Target="http://www.mudandopassoapasso.com.br" TargetMode="External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31</xdr:row>
      <xdr:rowOff>74082</xdr:rowOff>
    </xdr:from>
    <xdr:to>
      <xdr:col>8</xdr:col>
      <xdr:colOff>152400</xdr:colOff>
      <xdr:row>45</xdr:row>
      <xdr:rowOff>52915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147373</xdr:colOff>
      <xdr:row>1</xdr:row>
      <xdr:rowOff>145785</xdr:rowOff>
    </xdr:from>
    <xdr:to>
      <xdr:col>2</xdr:col>
      <xdr:colOff>1257912</xdr:colOff>
      <xdr:row>4</xdr:row>
      <xdr:rowOff>39950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54" y="348191"/>
          <a:ext cx="1539164" cy="465665"/>
        </a:xfrm>
        <a:prstGeom prst="rect">
          <a:avLst/>
        </a:prstGeom>
      </xdr:spPr>
    </xdr:pic>
    <xdr:clientData/>
  </xdr:twoCellAnchor>
  <xdr:twoCellAnchor editAs="oneCell">
    <xdr:from>
      <xdr:col>9</xdr:col>
      <xdr:colOff>20903</xdr:colOff>
      <xdr:row>1</xdr:row>
      <xdr:rowOff>79641</xdr:rowOff>
    </xdr:from>
    <xdr:to>
      <xdr:col>13</xdr:col>
      <xdr:colOff>126150</xdr:colOff>
      <xdr:row>9</xdr:row>
      <xdr:rowOff>187595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809" y="282047"/>
          <a:ext cx="2462684" cy="1643861"/>
        </a:xfrm>
        <a:prstGeom prst="rect">
          <a:avLst/>
        </a:prstGeom>
      </xdr:spPr>
    </xdr:pic>
    <xdr:clientData/>
  </xdr:twoCellAnchor>
  <xdr:oneCellAnchor>
    <xdr:from>
      <xdr:col>4</xdr:col>
      <xdr:colOff>310379</xdr:colOff>
      <xdr:row>4</xdr:row>
      <xdr:rowOff>21961</xdr:rowOff>
    </xdr:from>
    <xdr:ext cx="3430299" cy="530658"/>
    <xdr:sp macro="" textlink="">
      <xdr:nvSpPr>
        <xdr:cNvPr id="4" name="Retângulo 3"/>
        <xdr:cNvSpPr/>
      </xdr:nvSpPr>
      <xdr:spPr>
        <a:xfrm>
          <a:off x="3129779" y="775494"/>
          <a:ext cx="343029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Cálculo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de CONSUMO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8</xdr:col>
      <xdr:colOff>221396</xdr:colOff>
      <xdr:row>13</xdr:row>
      <xdr:rowOff>170418</xdr:rowOff>
    </xdr:from>
    <xdr:ext cx="1047338" cy="374141"/>
    <xdr:sp macro="" textlink="">
      <xdr:nvSpPr>
        <xdr:cNvPr id="8" name="Retângulo 7"/>
        <xdr:cNvSpPr/>
      </xdr:nvSpPr>
      <xdr:spPr>
        <a:xfrm>
          <a:off x="6173463" y="2930551"/>
          <a:ext cx="1047338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Km/litros</a:t>
          </a:r>
        </a:p>
      </xdr:txBody>
    </xdr:sp>
    <xdr:clientData/>
  </xdr:oneCellAnchor>
  <xdr:oneCellAnchor>
    <xdr:from>
      <xdr:col>8</xdr:col>
      <xdr:colOff>212930</xdr:colOff>
      <xdr:row>19</xdr:row>
      <xdr:rowOff>18019</xdr:rowOff>
    </xdr:from>
    <xdr:ext cx="1047338" cy="374141"/>
    <xdr:sp macro="" textlink="">
      <xdr:nvSpPr>
        <xdr:cNvPr id="9" name="Retângulo 8"/>
        <xdr:cNvSpPr/>
      </xdr:nvSpPr>
      <xdr:spPr>
        <a:xfrm>
          <a:off x="6164997" y="4225952"/>
          <a:ext cx="1047338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Km/litros</a:t>
          </a:r>
        </a:p>
      </xdr:txBody>
    </xdr:sp>
    <xdr:clientData/>
  </xdr:oneCellAnchor>
  <xdr:twoCellAnchor>
    <xdr:from>
      <xdr:col>1</xdr:col>
      <xdr:colOff>110066</xdr:colOff>
      <xdr:row>34</xdr:row>
      <xdr:rowOff>177800</xdr:rowOff>
    </xdr:from>
    <xdr:to>
      <xdr:col>4</xdr:col>
      <xdr:colOff>1076325</xdr:colOff>
      <xdr:row>45</xdr:row>
      <xdr:rowOff>93133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152400</xdr:colOff>
      <xdr:row>34</xdr:row>
      <xdr:rowOff>168275</xdr:rowOff>
    </xdr:from>
    <xdr:to>
      <xdr:col>13</xdr:col>
      <xdr:colOff>282573</xdr:colOff>
      <xdr:row>45</xdr:row>
      <xdr:rowOff>92075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75362</xdr:colOff>
      <xdr:row>27</xdr:row>
      <xdr:rowOff>204285</xdr:rowOff>
    </xdr:from>
    <xdr:ext cx="4929298" cy="968983"/>
    <xdr:sp macro="" textlink="">
      <xdr:nvSpPr>
        <xdr:cNvPr id="12" name="Retângulo 11"/>
        <xdr:cNvSpPr/>
      </xdr:nvSpPr>
      <xdr:spPr>
        <a:xfrm>
          <a:off x="422495" y="6351085"/>
          <a:ext cx="4929298" cy="968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Veja</a:t>
          </a:r>
          <a:r>
            <a:rPr lang="pt-BR" sz="2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seu gasto mensal (MÉDIO) </a:t>
          </a:r>
        </a:p>
        <a:p>
          <a:pPr algn="l"/>
          <a:r>
            <a:rPr lang="pt-BR" sz="2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com combustíveis</a:t>
          </a:r>
          <a:endParaRPr lang="pt-BR" sz="28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304800</xdr:colOff>
      <xdr:row>29</xdr:row>
      <xdr:rowOff>39158</xdr:rowOff>
    </xdr:from>
    <xdr:to>
      <xdr:col>13</xdr:col>
      <xdr:colOff>103006</xdr:colOff>
      <xdr:row>32</xdr:row>
      <xdr:rowOff>131382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6459008"/>
          <a:ext cx="2236606" cy="635149"/>
        </a:xfrm>
        <a:prstGeom prst="rect">
          <a:avLst/>
        </a:prstGeom>
      </xdr:spPr>
    </xdr:pic>
    <xdr:clientData/>
  </xdr:twoCellAnchor>
  <xdr:twoCellAnchor>
    <xdr:from>
      <xdr:col>24</xdr:col>
      <xdr:colOff>422803</xdr:colOff>
      <xdr:row>0</xdr:row>
      <xdr:rowOff>0</xdr:rowOff>
    </xdr:from>
    <xdr:to>
      <xdr:col>39</xdr:col>
      <xdr:colOff>667543</xdr:colOff>
      <xdr:row>28</xdr:row>
      <xdr:rowOff>47097</xdr:rowOff>
    </xdr:to>
    <xdr:sp macro="" textlink="">
      <xdr:nvSpPr>
        <xdr:cNvPr id="15" name="Retângulo 14"/>
        <xdr:cNvSpPr/>
      </xdr:nvSpPr>
      <xdr:spPr>
        <a:xfrm>
          <a:off x="15162741" y="0"/>
          <a:ext cx="9150615" cy="648837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17</xdr:col>
      <xdr:colOff>347133</xdr:colOff>
      <xdr:row>3</xdr:row>
      <xdr:rowOff>110065</xdr:rowOff>
    </xdr:from>
    <xdr:to>
      <xdr:col>22</xdr:col>
      <xdr:colOff>363009</xdr:colOff>
      <xdr:row>18</xdr:row>
      <xdr:rowOff>42332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0866" y="677332"/>
          <a:ext cx="2809875" cy="3276600"/>
        </a:xfrm>
        <a:prstGeom prst="rect">
          <a:avLst/>
        </a:prstGeom>
      </xdr:spPr>
    </xdr:pic>
    <xdr:clientData/>
  </xdr:twoCellAnchor>
  <xdr:twoCellAnchor editAs="oneCell">
    <xdr:from>
      <xdr:col>16</xdr:col>
      <xdr:colOff>313268</xdr:colOff>
      <xdr:row>29</xdr:row>
      <xdr:rowOff>186264</xdr:rowOff>
    </xdr:from>
    <xdr:to>
      <xdr:col>24</xdr:col>
      <xdr:colOff>391247</xdr:colOff>
      <xdr:row>39</xdr:row>
      <xdr:rowOff>67733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8201" y="6730997"/>
          <a:ext cx="4548379" cy="1744136"/>
        </a:xfrm>
        <a:prstGeom prst="rect">
          <a:avLst/>
        </a:prstGeom>
      </xdr:spPr>
    </xdr:pic>
    <xdr:clientData/>
  </xdr:twoCellAnchor>
  <xdr:oneCellAnchor>
    <xdr:from>
      <xdr:col>16</xdr:col>
      <xdr:colOff>72818</xdr:colOff>
      <xdr:row>27</xdr:row>
      <xdr:rowOff>102687</xdr:rowOff>
    </xdr:from>
    <xdr:ext cx="4900508" cy="530658"/>
    <xdr:sp macro="" textlink="">
      <xdr:nvSpPr>
        <xdr:cNvPr id="18" name="Retângulo 17"/>
        <xdr:cNvSpPr/>
      </xdr:nvSpPr>
      <xdr:spPr>
        <a:xfrm>
          <a:off x="10757751" y="6249487"/>
          <a:ext cx="490050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Organização:</a:t>
          </a:r>
          <a:r>
            <a:rPr lang="pt-BR" sz="2800" b="0" u="sng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TEMPO e TAREFAS</a:t>
          </a:r>
          <a:endParaRPr lang="pt-BR" sz="28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16</xdr:col>
      <xdr:colOff>84317</xdr:colOff>
      <xdr:row>25</xdr:row>
      <xdr:rowOff>77286</xdr:rowOff>
    </xdr:from>
    <xdr:ext cx="1372299" cy="593304"/>
    <xdr:sp macro="" textlink="">
      <xdr:nvSpPr>
        <xdr:cNvPr id="19" name="Retângulo 18"/>
        <xdr:cNvSpPr/>
      </xdr:nvSpPr>
      <xdr:spPr>
        <a:xfrm>
          <a:off x="10769250" y="5843086"/>
          <a:ext cx="137229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CURSO</a:t>
          </a:r>
        </a:p>
      </xdr:txBody>
    </xdr:sp>
    <xdr:clientData/>
  </xdr:oneCellAnchor>
  <xdr:twoCellAnchor editAs="oneCell">
    <xdr:from>
      <xdr:col>15</xdr:col>
      <xdr:colOff>45242</xdr:colOff>
      <xdr:row>19</xdr:row>
      <xdr:rowOff>131699</xdr:rowOff>
    </xdr:from>
    <xdr:to>
      <xdr:col>16</xdr:col>
      <xdr:colOff>530276</xdr:colOff>
      <xdr:row>23</xdr:row>
      <xdr:rowOff>207586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5992" y="4406043"/>
          <a:ext cx="1032721" cy="1040293"/>
        </a:xfrm>
        <a:prstGeom prst="rect">
          <a:avLst/>
        </a:prstGeom>
      </xdr:spPr>
    </xdr:pic>
    <xdr:clientData/>
  </xdr:twoCellAnchor>
  <xdr:twoCellAnchor>
    <xdr:from>
      <xdr:col>23</xdr:col>
      <xdr:colOff>135467</xdr:colOff>
      <xdr:row>19</xdr:row>
      <xdr:rowOff>110066</xdr:rowOff>
    </xdr:from>
    <xdr:to>
      <xdr:col>25</xdr:col>
      <xdr:colOff>220135</xdr:colOff>
      <xdr:row>22</xdr:row>
      <xdr:rowOff>245533</xdr:rowOff>
    </xdr:to>
    <xdr:sp macro="" textlink="">
      <xdr:nvSpPr>
        <xdr:cNvPr id="21" name="Seta para a direita 20">
          <a:hlinkClick xmlns:r="http://schemas.openxmlformats.org/officeDocument/2006/relationships" r:id="rId10"/>
        </xdr:cNvPr>
        <xdr:cNvSpPr/>
      </xdr:nvSpPr>
      <xdr:spPr>
        <a:xfrm>
          <a:off x="14732000" y="4317999"/>
          <a:ext cx="1202268" cy="84666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50" b="1"/>
            <a:t>LINK</a:t>
          </a:r>
          <a:r>
            <a:rPr lang="pt-BR" sz="1050" b="1" baseline="0"/>
            <a:t> P/ NOSSO SITE</a:t>
          </a:r>
          <a:endParaRPr lang="pt-BR" sz="1050" b="1"/>
        </a:p>
      </xdr:txBody>
    </xdr:sp>
    <xdr:clientData/>
  </xdr:twoCellAnchor>
  <xdr:oneCellAnchor>
    <xdr:from>
      <xdr:col>4</xdr:col>
      <xdr:colOff>1422346</xdr:colOff>
      <xdr:row>43</xdr:row>
      <xdr:rowOff>166979</xdr:rowOff>
    </xdr:from>
    <xdr:ext cx="608115" cy="280205"/>
    <xdr:sp macro="" textlink="">
      <xdr:nvSpPr>
        <xdr:cNvPr id="24" name="Retângulo 23"/>
        <xdr:cNvSpPr/>
      </xdr:nvSpPr>
      <xdr:spPr>
        <a:xfrm>
          <a:off x="4241746" y="9120479"/>
          <a:ext cx="608115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GASOL</a:t>
          </a:r>
        </a:p>
      </xdr:txBody>
    </xdr:sp>
    <xdr:clientData/>
  </xdr:oneCellAnchor>
  <xdr:oneCellAnchor>
    <xdr:from>
      <xdr:col>6</xdr:col>
      <xdr:colOff>781424</xdr:colOff>
      <xdr:row>43</xdr:row>
      <xdr:rowOff>164599</xdr:rowOff>
    </xdr:from>
    <xdr:ext cx="689804" cy="280205"/>
    <xdr:sp macro="" textlink="">
      <xdr:nvSpPr>
        <xdr:cNvPr id="25" name="Retângulo 24"/>
        <xdr:cNvSpPr/>
      </xdr:nvSpPr>
      <xdr:spPr>
        <a:xfrm>
          <a:off x="5286749" y="9118099"/>
          <a:ext cx="689804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ETANOL</a:t>
          </a:r>
        </a:p>
      </xdr:txBody>
    </xdr:sp>
    <xdr:clientData/>
  </xdr:oneCellAnchor>
  <xdr:twoCellAnchor editAs="oneCell">
    <xdr:from>
      <xdr:col>4</xdr:col>
      <xdr:colOff>142874</xdr:colOff>
      <xdr:row>16</xdr:row>
      <xdr:rowOff>36477</xdr:rowOff>
    </xdr:from>
    <xdr:to>
      <xdr:col>6</xdr:col>
      <xdr:colOff>1238250</xdr:colOff>
      <xdr:row>23</xdr:row>
      <xdr:rowOff>218336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62274" y="3370227"/>
          <a:ext cx="2781301" cy="1915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222248</xdr:colOff>
      <xdr:row>16</xdr:row>
      <xdr:rowOff>133349</xdr:rowOff>
    </xdr:from>
    <xdr:to>
      <xdr:col>5</xdr:col>
      <xdr:colOff>144932</xdr:colOff>
      <xdr:row>23</xdr:row>
      <xdr:rowOff>62710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5" y="3668182"/>
          <a:ext cx="2462684" cy="1643861"/>
        </a:xfrm>
        <a:prstGeom prst="rect">
          <a:avLst/>
        </a:prstGeom>
      </xdr:spPr>
    </xdr:pic>
    <xdr:clientData/>
  </xdr:twoCellAnchor>
  <xdr:twoCellAnchor editAs="oneCell">
    <xdr:from>
      <xdr:col>1</xdr:col>
      <xdr:colOff>247866</xdr:colOff>
      <xdr:row>1</xdr:row>
      <xdr:rowOff>158750</xdr:rowOff>
    </xdr:from>
    <xdr:to>
      <xdr:col>4</xdr:col>
      <xdr:colOff>1158164</xdr:colOff>
      <xdr:row>5</xdr:row>
      <xdr:rowOff>6348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33" y="359833"/>
          <a:ext cx="2063881" cy="624415"/>
        </a:xfrm>
        <a:prstGeom prst="rect">
          <a:avLst/>
        </a:prstGeom>
      </xdr:spPr>
    </xdr:pic>
    <xdr:clientData/>
  </xdr:twoCellAnchor>
  <xdr:oneCellAnchor>
    <xdr:from>
      <xdr:col>2</xdr:col>
      <xdr:colOff>263072</xdr:colOff>
      <xdr:row>5</xdr:row>
      <xdr:rowOff>42333</xdr:rowOff>
    </xdr:from>
    <xdr:ext cx="3200492" cy="530658"/>
    <xdr:sp macro="" textlink="">
      <xdr:nvSpPr>
        <xdr:cNvPr id="4" name="Retângulo 3"/>
        <xdr:cNvSpPr/>
      </xdr:nvSpPr>
      <xdr:spPr>
        <a:xfrm>
          <a:off x="1035655" y="1026583"/>
          <a:ext cx="320049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Cálculo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de PAYBACK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15</xdr:col>
      <xdr:colOff>19164</xdr:colOff>
      <xdr:row>1</xdr:row>
      <xdr:rowOff>127000</xdr:rowOff>
    </xdr:from>
    <xdr:to>
      <xdr:col>16</xdr:col>
      <xdr:colOff>80222</xdr:colOff>
      <xdr:row>5</xdr:row>
      <xdr:rowOff>108959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4831" y="328083"/>
          <a:ext cx="759557" cy="765126"/>
        </a:xfrm>
        <a:prstGeom prst="rect">
          <a:avLst/>
        </a:prstGeom>
      </xdr:spPr>
    </xdr:pic>
    <xdr:clientData/>
  </xdr:twoCellAnchor>
  <xdr:twoCellAnchor>
    <xdr:from>
      <xdr:col>6</xdr:col>
      <xdr:colOff>275165</xdr:colOff>
      <xdr:row>31</xdr:row>
      <xdr:rowOff>105833</xdr:rowOff>
    </xdr:from>
    <xdr:to>
      <xdr:col>10</xdr:col>
      <xdr:colOff>592666</xdr:colOff>
      <xdr:row>33</xdr:row>
      <xdr:rowOff>95250</xdr:rowOff>
    </xdr:to>
    <xdr:sp macro="" textlink="">
      <xdr:nvSpPr>
        <xdr:cNvPr id="6" name="Retângulo de cantos arredondados 5"/>
        <xdr:cNvSpPr/>
      </xdr:nvSpPr>
      <xdr:spPr>
        <a:xfrm>
          <a:off x="3312582" y="6836833"/>
          <a:ext cx="2825751" cy="772584"/>
        </a:xfrm>
        <a:prstGeom prst="roundRect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12</xdr:col>
      <xdr:colOff>253998</xdr:colOff>
      <xdr:row>16</xdr:row>
      <xdr:rowOff>202055</xdr:rowOff>
    </xdr:from>
    <xdr:to>
      <xdr:col>15</xdr:col>
      <xdr:colOff>575865</xdr:colOff>
      <xdr:row>22</xdr:row>
      <xdr:rowOff>144295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42665" y="3673388"/>
          <a:ext cx="1947467" cy="1466240"/>
        </a:xfrm>
        <a:prstGeom prst="rect">
          <a:avLst/>
        </a:prstGeom>
      </xdr:spPr>
    </xdr:pic>
    <xdr:clientData/>
  </xdr:twoCellAnchor>
  <xdr:twoCellAnchor editAs="oneCell">
    <xdr:from>
      <xdr:col>20</xdr:col>
      <xdr:colOff>846666</xdr:colOff>
      <xdr:row>0</xdr:row>
      <xdr:rowOff>101600</xdr:rowOff>
    </xdr:from>
    <xdr:to>
      <xdr:col>24</xdr:col>
      <xdr:colOff>68792</xdr:colOff>
      <xdr:row>15</xdr:row>
      <xdr:rowOff>33867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9933" y="101600"/>
          <a:ext cx="2778126" cy="3208867"/>
        </a:xfrm>
        <a:prstGeom prst="rect">
          <a:avLst/>
        </a:prstGeom>
      </xdr:spPr>
    </xdr:pic>
    <xdr:clientData/>
  </xdr:twoCellAnchor>
  <xdr:twoCellAnchor editAs="oneCell">
    <xdr:from>
      <xdr:col>19</xdr:col>
      <xdr:colOff>358984</xdr:colOff>
      <xdr:row>23</xdr:row>
      <xdr:rowOff>142845</xdr:rowOff>
    </xdr:from>
    <xdr:to>
      <xdr:col>24</xdr:col>
      <xdr:colOff>411563</xdr:colOff>
      <xdr:row>31</xdr:row>
      <xdr:rowOff>411664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251" y="5324445"/>
          <a:ext cx="4497579" cy="1691219"/>
        </a:xfrm>
        <a:prstGeom prst="rect">
          <a:avLst/>
        </a:prstGeom>
      </xdr:spPr>
    </xdr:pic>
    <xdr:clientData/>
  </xdr:twoCellAnchor>
  <xdr:oneCellAnchor>
    <xdr:from>
      <xdr:col>19</xdr:col>
      <xdr:colOff>118534</xdr:colOff>
      <xdr:row>21</xdr:row>
      <xdr:rowOff>109010</xdr:rowOff>
    </xdr:from>
    <xdr:ext cx="4900508" cy="530658"/>
    <xdr:sp macro="" textlink="">
      <xdr:nvSpPr>
        <xdr:cNvPr id="10" name="Retângulo 9"/>
        <xdr:cNvSpPr/>
      </xdr:nvSpPr>
      <xdr:spPr>
        <a:xfrm>
          <a:off x="10972801" y="4850343"/>
          <a:ext cx="490050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Organização:</a:t>
          </a:r>
          <a:r>
            <a:rPr lang="pt-BR" sz="2800" b="0" u="sng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TEMPO e TAREFAS</a:t>
          </a:r>
          <a:endParaRPr lang="pt-BR" sz="28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130033</xdr:colOff>
      <xdr:row>19</xdr:row>
      <xdr:rowOff>220134</xdr:rowOff>
    </xdr:from>
    <xdr:ext cx="1372299" cy="593304"/>
    <xdr:sp macro="" textlink="">
      <xdr:nvSpPr>
        <xdr:cNvPr id="11" name="Retângulo 10"/>
        <xdr:cNvSpPr/>
      </xdr:nvSpPr>
      <xdr:spPr>
        <a:xfrm>
          <a:off x="10984300" y="4453467"/>
          <a:ext cx="137229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CURSO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1</xdr:row>
      <xdr:rowOff>161925</xdr:rowOff>
    </xdr:from>
    <xdr:to>
      <xdr:col>18</xdr:col>
      <xdr:colOff>2180298</xdr:colOff>
      <xdr:row>2</xdr:row>
      <xdr:rowOff>529837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352425"/>
          <a:ext cx="1894548" cy="54888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</xdr:row>
      <xdr:rowOff>142875</xdr:rowOff>
    </xdr:from>
    <xdr:to>
      <xdr:col>4</xdr:col>
      <xdr:colOff>75874</xdr:colOff>
      <xdr:row>3</xdr:row>
      <xdr:rowOff>96259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33375"/>
          <a:ext cx="780724" cy="743959"/>
        </a:xfrm>
        <a:prstGeom prst="rect">
          <a:avLst/>
        </a:prstGeom>
      </xdr:spPr>
    </xdr:pic>
    <xdr:clientData/>
  </xdr:twoCellAnchor>
  <xdr:oneCellAnchor>
    <xdr:from>
      <xdr:col>9</xdr:col>
      <xdr:colOff>96754</xdr:colOff>
      <xdr:row>1</xdr:row>
      <xdr:rowOff>0</xdr:rowOff>
    </xdr:from>
    <xdr:ext cx="4873899" cy="530658"/>
    <xdr:sp macro="" textlink="">
      <xdr:nvSpPr>
        <xdr:cNvPr id="4" name="Retângulo 3"/>
        <xdr:cNvSpPr/>
      </xdr:nvSpPr>
      <xdr:spPr>
        <a:xfrm>
          <a:off x="5564104" y="190500"/>
          <a:ext cx="487389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Comparativo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entre Automóveis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403319</xdr:colOff>
      <xdr:row>3</xdr:row>
      <xdr:rowOff>68580</xdr:rowOff>
    </xdr:from>
    <xdr:ext cx="2878544" cy="530658"/>
    <xdr:sp macro="" textlink="">
      <xdr:nvSpPr>
        <xdr:cNvPr id="2" name="Retângulo 1"/>
        <xdr:cNvSpPr/>
      </xdr:nvSpPr>
      <xdr:spPr>
        <a:xfrm>
          <a:off x="3390359" y="617220"/>
          <a:ext cx="2878544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VISÃO DINÂMICA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twoCellAnchor editAs="oneCell">
    <xdr:from>
      <xdr:col>5</xdr:col>
      <xdr:colOff>822960</xdr:colOff>
      <xdr:row>2</xdr:row>
      <xdr:rowOff>167640</xdr:rowOff>
    </xdr:from>
    <xdr:to>
      <xdr:col>7</xdr:col>
      <xdr:colOff>586740</xdr:colOff>
      <xdr:row>5</xdr:row>
      <xdr:rowOff>40165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533400"/>
          <a:ext cx="1874520" cy="543085"/>
        </a:xfrm>
        <a:prstGeom prst="rect">
          <a:avLst/>
        </a:prstGeom>
      </xdr:spPr>
    </xdr:pic>
    <xdr:clientData/>
  </xdr:twoCellAnchor>
  <xdr:oneCellAnchor>
    <xdr:from>
      <xdr:col>2</xdr:col>
      <xdr:colOff>227621</xdr:colOff>
      <xdr:row>0</xdr:row>
      <xdr:rowOff>182695</xdr:rowOff>
    </xdr:from>
    <xdr:ext cx="1023036" cy="405432"/>
    <xdr:sp macro="" textlink="">
      <xdr:nvSpPr>
        <xdr:cNvPr id="4" name="Retângulo 3"/>
        <xdr:cNvSpPr/>
      </xdr:nvSpPr>
      <xdr:spPr>
        <a:xfrm>
          <a:off x="1789721" y="182695"/>
          <a:ext cx="1023036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FILTROS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1</xdr:row>
      <xdr:rowOff>161925</xdr:rowOff>
    </xdr:from>
    <xdr:to>
      <xdr:col>11</xdr:col>
      <xdr:colOff>2208873</xdr:colOff>
      <xdr:row>2</xdr:row>
      <xdr:rowOff>529837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4705" y="352425"/>
          <a:ext cx="1894548" cy="55079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</xdr:row>
      <xdr:rowOff>123825</xdr:rowOff>
    </xdr:from>
    <xdr:to>
      <xdr:col>3</xdr:col>
      <xdr:colOff>152074</xdr:colOff>
      <xdr:row>3</xdr:row>
      <xdr:rowOff>77209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4325"/>
          <a:ext cx="780724" cy="74586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</xdr:row>
      <xdr:rowOff>0</xdr:rowOff>
    </xdr:from>
    <xdr:ext cx="4873899" cy="530658"/>
    <xdr:sp macro="" textlink="">
      <xdr:nvSpPr>
        <xdr:cNvPr id="4" name="Retângulo 3"/>
        <xdr:cNvSpPr/>
      </xdr:nvSpPr>
      <xdr:spPr>
        <a:xfrm>
          <a:off x="5575534" y="190500"/>
          <a:ext cx="487389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Comparativo</a:t>
          </a:r>
          <a:r>
            <a:rPr lang="pt-BR" sz="28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entre Automóveis</a:t>
          </a:r>
          <a:endParaRPr lang="pt-BR" sz="28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Z IZIDORO" refreshedDate="44080.794757291667" createdVersion="5" refreshedVersion="5" minRefreshableVersion="3" recordCount="100">
  <cacheSource type="worksheet">
    <worksheetSource ref="D5:L105" sheet="origem"/>
  </cacheSource>
  <cacheFields count="9">
    <cacheField name="ANO" numFmtId="0">
      <sharedItems containsSemiMixedTypes="0" containsString="0" containsNumber="1" containsInteger="1" minValue="0" maxValue="2020" count="6">
        <n v="2008"/>
        <n v="2007"/>
        <n v="2012"/>
        <n v="2013"/>
        <n v="2020"/>
        <n v="0"/>
      </sharedItems>
    </cacheField>
    <cacheField name="MODELO" numFmtId="7">
      <sharedItems containsMixedTypes="1" containsNumber="1" containsInteger="1" minValue="0" maxValue="0" count="7">
        <s v="VELHO-ECONOM"/>
        <s v="VELHO-GASTÃO"/>
        <s v="SEMI-ECONOM"/>
        <s v="SEMI-GASTÃO"/>
        <s v="NOVO-ECONOMI"/>
        <s v="NOVO-GASTÃO"/>
        <n v="0"/>
      </sharedItems>
    </cacheField>
    <cacheField name="MONTADORA" numFmtId="7">
      <sharedItems containsMixedTypes="1" containsNumber="1" containsInteger="1" minValue="0" maxValue="0" count="4">
        <s v="LUIZ"/>
        <s v="IZIDORO"/>
        <s v="PROFESSOR"/>
        <n v="0"/>
      </sharedItems>
    </cacheField>
    <cacheField name="VALOR DE MERCADO" numFmtId="44">
      <sharedItems containsSemiMixedTypes="0" containsString="0" containsNumber="1" containsInteger="1" minValue="0" maxValue="45000" count="7">
        <n v="5000"/>
        <n v="7000"/>
        <n v="13000"/>
        <n v="14000"/>
        <n v="32000"/>
        <n v="45000"/>
        <n v="0"/>
      </sharedItems>
    </cacheField>
    <cacheField name="CIDADE_x000a_ Gasolina" numFmtId="173">
      <sharedItems containsSemiMixedTypes="0" containsString="0" containsNumber="1" containsInteger="1" minValue="0" maxValue="11"/>
    </cacheField>
    <cacheField name="ESTRADA_x000a_Gasolina" numFmtId="173">
      <sharedItems containsSemiMixedTypes="0" containsString="0" containsNumber="1" containsInteger="1" minValue="0" maxValue="14"/>
    </cacheField>
    <cacheField name="CIDADE_x000a_ Etanol" numFmtId="173">
      <sharedItems containsSemiMixedTypes="0" containsString="0" containsNumber="1" containsInteger="1" minValue="0" maxValue="9"/>
    </cacheField>
    <cacheField name="ESTRADA_x000a_ Etanol" numFmtId="173">
      <sharedItems containsSemiMixedTypes="0" containsString="0" containsNumber="1" containsInteger="1" minValue="0" maxValue="11"/>
    </cacheField>
    <cacheField name="OBSERVAÇÕE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x v="0"/>
    <x v="0"/>
    <n v="7"/>
    <n v="9"/>
    <n v="6"/>
    <n v="8"/>
    <n v="0"/>
  </r>
  <r>
    <x v="1"/>
    <x v="1"/>
    <x v="0"/>
    <x v="1"/>
    <n v="5"/>
    <n v="6"/>
    <n v="4"/>
    <n v="5"/>
    <n v="0"/>
  </r>
  <r>
    <x v="2"/>
    <x v="2"/>
    <x v="1"/>
    <x v="2"/>
    <n v="7"/>
    <n v="8"/>
    <n v="5"/>
    <n v="6"/>
    <n v="0"/>
  </r>
  <r>
    <x v="3"/>
    <x v="3"/>
    <x v="1"/>
    <x v="3"/>
    <n v="8"/>
    <n v="10"/>
    <n v="6"/>
    <n v="8"/>
    <n v="0"/>
  </r>
  <r>
    <x v="4"/>
    <x v="4"/>
    <x v="2"/>
    <x v="4"/>
    <n v="11"/>
    <n v="14"/>
    <n v="9"/>
    <n v="11"/>
    <n v="0"/>
  </r>
  <r>
    <x v="4"/>
    <x v="5"/>
    <x v="2"/>
    <x v="5"/>
    <n v="8"/>
    <n v="9"/>
    <n v="6"/>
    <n v="7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  <r>
    <x v="5"/>
    <x v="6"/>
    <x v="3"/>
    <x v="6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8:F15" firstHeaderRow="0" firstDataRow="1" firstDataCol="1" rowPageCount="3" colPageCount="1"/>
  <pivotFields count="9">
    <pivotField axis="axisPage" multipleItemSelectionAllowed="1" showAll="0">
      <items count="7">
        <item x="5"/>
        <item x="1"/>
        <item x="0"/>
        <item x="2"/>
        <item x="3"/>
        <item x="4"/>
        <item t="default"/>
      </items>
    </pivotField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Page" multipleItemSelectionAllowed="1" showAll="0">
      <items count="5">
        <item x="0"/>
        <item x="1"/>
        <item x="2"/>
        <item x="3"/>
        <item t="default"/>
      </items>
    </pivotField>
    <pivotField axis="axisPage" numFmtId="44" multipleItemSelectionAllowed="1" showAll="0">
      <items count="8">
        <item h="1" x="6"/>
        <item x="0"/>
        <item x="1"/>
        <item x="2"/>
        <item x="3"/>
        <item x="4"/>
        <item x="5"/>
        <item t="default"/>
      </items>
    </pivotField>
    <pivotField dataField="1" numFmtId="173" showAll="0"/>
    <pivotField dataField="1" numFmtId="173" showAll="0"/>
    <pivotField dataField="1" numFmtId="173" showAll="0"/>
    <pivotField dataField="1" numFmtId="173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0" hier="-1"/>
    <pageField fld="2" hier="-1"/>
    <pageField fld="3" hier="-1"/>
  </pageFields>
  <dataFields count="4">
    <dataField name="Média de CONSUMO   -       CIDADE GASOLINA" fld="4" subtotal="average" baseField="1" baseItem="0"/>
    <dataField name="Média de CONSUMO   -       ESTRADA GASOLINA" fld="5" subtotal="average" baseField="1" baseItem="0"/>
    <dataField name="Média de CONSUMO   -       CIDADE ETANOL" fld="6" subtotal="average" baseField="1" baseItem="0"/>
    <dataField name="Média de CONSUMO   -       ESTRADA ETANOL" fld="7" subtotal="average" baseField="1" baseItem="0"/>
  </dataFields>
  <formats count="27"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outline="0" collapsedLevelsAreSubtotals="1" fieldPosition="0"/>
    </format>
    <format dxfId="23">
      <pivotArea collapsedLevelsAreSubtotals="1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">
      <pivotArea field="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">
      <pivotArea grandRow="1" outline="0" collapsedLevelsAreSubtotals="1" fieldPosition="0"/>
    </format>
    <format dxfId="18">
      <pivotArea grandRow="1" outline="0" collapsedLevelsAreSubtotals="1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collapsedLevelsAreSubtotals="1" fieldPosition="0">
        <references count="1">
          <reference field="1" count="0"/>
        </references>
      </pivotArea>
    </format>
    <format dxfId="7">
      <pivotArea dataOnly="0" labelOnly="1" fieldPosition="0">
        <references count="1">
          <reference field="1" count="0"/>
        </references>
      </pivotArea>
    </format>
    <format dxfId="6">
      <pivotArea field="1" type="button" dataOnly="0" labelOnly="1" outline="0" axis="axisRow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dataOnly="0" labelOnly="1" grandRow="1" outline="0" fieldPosition="0"/>
    </format>
    <format dxfId="2">
      <pivotArea field="1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udandopassoapasso.com.b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udandopassoapasso.com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zoomScale="90" zoomScaleNormal="90" workbookViewId="0">
      <selection activeCell="L16" sqref="L16"/>
    </sheetView>
  </sheetViews>
  <sheetFormatPr defaultColWidth="9.109375" defaultRowHeight="14.4" x14ac:dyDescent="0.3"/>
  <cols>
    <col min="1" max="2" width="5.109375" style="6" customWidth="1"/>
    <col min="3" max="3" width="9" style="6" customWidth="1"/>
    <col min="4" max="4" width="15.44140625" style="6" customWidth="1"/>
    <col min="5" max="5" width="25.6640625" style="6" customWidth="1"/>
    <col min="6" max="6" width="2.44140625" style="6" customWidth="1"/>
    <col min="7" max="7" width="25.88671875" style="6" customWidth="1"/>
    <col min="8" max="8" width="2.44140625" style="6" customWidth="1"/>
    <col min="9" max="9" width="12.44140625" style="6" customWidth="1"/>
    <col min="10" max="10" width="5.44140625" style="6" customWidth="1"/>
    <col min="11" max="11" width="9.109375" style="6"/>
    <col min="12" max="12" width="12.6640625" style="6" customWidth="1"/>
    <col min="13" max="16384" width="9.109375" style="6"/>
  </cols>
  <sheetData>
    <row r="1" spans="2:10" ht="15" thickBot="1" x14ac:dyDescent="0.35"/>
    <row r="2" spans="2:10" x14ac:dyDescent="0.3">
      <c r="B2" s="7"/>
      <c r="C2" s="8"/>
      <c r="D2" s="8"/>
      <c r="E2" s="8"/>
      <c r="F2" s="8"/>
      <c r="G2" s="8"/>
      <c r="H2" s="8"/>
      <c r="I2" s="8"/>
      <c r="J2" s="9"/>
    </row>
    <row r="3" spans="2:10" x14ac:dyDescent="0.3">
      <c r="B3" s="10"/>
      <c r="C3" s="11"/>
      <c r="D3" s="40" t="s">
        <v>5</v>
      </c>
      <c r="E3" s="11"/>
      <c r="F3" s="11"/>
      <c r="G3" s="41" t="s">
        <v>12</v>
      </c>
      <c r="H3" s="11"/>
      <c r="I3" s="11"/>
      <c r="J3" s="13"/>
    </row>
    <row r="4" spans="2:10" s="20" customFormat="1" ht="32.25" customHeight="1" x14ac:dyDescent="0.3">
      <c r="B4" s="14"/>
      <c r="C4" s="15"/>
      <c r="D4" s="16">
        <f ca="1">TODAY()</f>
        <v>44080</v>
      </c>
      <c r="E4" s="17" t="s">
        <v>0</v>
      </c>
      <c r="F4" s="15"/>
      <c r="G4" s="1">
        <v>12000</v>
      </c>
      <c r="H4" s="15"/>
      <c r="I4" s="15"/>
      <c r="J4" s="19"/>
    </row>
    <row r="5" spans="2:10" x14ac:dyDescent="0.3">
      <c r="B5" s="10"/>
      <c r="C5" s="11"/>
      <c r="D5" s="11"/>
      <c r="E5" s="11"/>
      <c r="F5" s="11"/>
      <c r="H5" s="11"/>
      <c r="I5" s="11"/>
      <c r="J5" s="13"/>
    </row>
    <row r="6" spans="2:10" x14ac:dyDescent="0.3">
      <c r="B6" s="10"/>
      <c r="C6" s="11"/>
      <c r="D6" s="11"/>
      <c r="E6" s="11"/>
      <c r="F6" s="11"/>
      <c r="G6" s="23" t="s">
        <v>2</v>
      </c>
      <c r="H6" s="11"/>
      <c r="I6" s="11"/>
      <c r="J6" s="13"/>
    </row>
    <row r="7" spans="2:10" ht="18" x14ac:dyDescent="0.3">
      <c r="B7" s="10"/>
      <c r="C7" s="188" t="s">
        <v>9</v>
      </c>
      <c r="D7" s="189"/>
      <c r="E7" s="21" t="s">
        <v>1</v>
      </c>
      <c r="F7" s="11"/>
      <c r="G7" s="2">
        <v>11000</v>
      </c>
      <c r="H7" s="11"/>
      <c r="I7" s="22">
        <f>IF(G7="",".",G7/G4-1)</f>
        <v>-8.333333333333337E-2</v>
      </c>
      <c r="J7" s="13"/>
    </row>
    <row r="8" spans="2:10" x14ac:dyDescent="0.3">
      <c r="B8" s="10"/>
      <c r="C8" s="11"/>
      <c r="D8" s="11"/>
      <c r="E8" s="11"/>
      <c r="F8" s="11"/>
      <c r="G8" s="41" t="s">
        <v>13</v>
      </c>
      <c r="H8" s="11"/>
      <c r="I8" s="24" t="str">
        <f>IF(G7="","",IF(I7=-1,"",IF(I7&lt;0,"DESCONTO",IF(I7&gt;0,"AUMENTOU??",IF(I7=0,"",IF(I7="","",""))))))</f>
        <v>DESCONTO</v>
      </c>
      <c r="J8" s="13"/>
    </row>
    <row r="9" spans="2:10" ht="15" thickBot="1" x14ac:dyDescent="0.35">
      <c r="B9" s="25"/>
      <c r="C9" s="26"/>
      <c r="D9" s="26"/>
      <c r="E9" s="26"/>
      <c r="F9" s="26"/>
      <c r="G9" s="27"/>
      <c r="H9" s="26"/>
      <c r="I9" s="26"/>
      <c r="J9" s="28"/>
    </row>
    <row r="10" spans="2:10" ht="15" thickBot="1" x14ac:dyDescent="0.35">
      <c r="G10" s="29"/>
    </row>
    <row r="11" spans="2:10" x14ac:dyDescent="0.3">
      <c r="B11" s="7"/>
      <c r="C11" s="8"/>
      <c r="D11" s="8"/>
      <c r="E11" s="8"/>
      <c r="F11" s="8"/>
      <c r="G11" s="30"/>
      <c r="H11" s="8"/>
      <c r="I11" s="8"/>
      <c r="J11" s="9"/>
    </row>
    <row r="12" spans="2:10" x14ac:dyDescent="0.3">
      <c r="B12" s="10"/>
      <c r="C12" s="11"/>
      <c r="D12" s="12" t="s">
        <v>4</v>
      </c>
      <c r="E12" s="11"/>
      <c r="F12" s="11"/>
      <c r="G12" s="11"/>
      <c r="H12" s="11"/>
      <c r="I12" s="11"/>
      <c r="J12" s="13"/>
    </row>
    <row r="13" spans="2:10" ht="18" x14ac:dyDescent="0.3">
      <c r="B13" s="10"/>
      <c r="C13" s="31">
        <f ca="1">IF(D13="","",D13-D4)</f>
        <v>15</v>
      </c>
      <c r="D13" s="42">
        <f ca="1">D4+15</f>
        <v>44095</v>
      </c>
      <c r="E13" s="32" t="s">
        <v>3</v>
      </c>
      <c r="F13" s="11"/>
      <c r="G13" s="3">
        <v>750</v>
      </c>
      <c r="H13" s="11"/>
      <c r="I13" s="11"/>
      <c r="J13" s="13"/>
    </row>
    <row r="14" spans="2:10" x14ac:dyDescent="0.3">
      <c r="B14" s="10"/>
      <c r="C14" s="11"/>
      <c r="D14" s="11"/>
      <c r="E14" s="11"/>
      <c r="F14" s="11"/>
      <c r="G14" s="11"/>
      <c r="H14" s="11"/>
      <c r="I14" s="11"/>
      <c r="J14" s="13"/>
    </row>
    <row r="15" spans="2:10" ht="31.5" customHeight="1" x14ac:dyDescent="0.3">
      <c r="B15" s="10"/>
      <c r="C15" s="11"/>
      <c r="D15" s="11"/>
      <c r="E15" s="33" t="s">
        <v>8</v>
      </c>
      <c r="F15" s="11"/>
      <c r="G15" s="18">
        <f>IF(AND(G4="",G13=""),"",G4-G13)</f>
        <v>11250</v>
      </c>
      <c r="H15" s="11"/>
      <c r="I15" s="11"/>
      <c r="J15" s="13"/>
    </row>
    <row r="16" spans="2:10" x14ac:dyDescent="0.3">
      <c r="B16" s="10"/>
      <c r="C16" s="11"/>
      <c r="D16" s="11"/>
      <c r="E16" s="11"/>
      <c r="F16" s="11"/>
      <c r="G16" s="11"/>
      <c r="H16" s="11"/>
      <c r="I16" s="11"/>
      <c r="J16" s="13"/>
    </row>
    <row r="17" spans="2:10" x14ac:dyDescent="0.3">
      <c r="B17" s="10"/>
      <c r="C17" s="11"/>
      <c r="D17" s="11"/>
      <c r="E17" s="11"/>
      <c r="F17" s="11"/>
      <c r="G17" s="11"/>
      <c r="H17" s="11"/>
      <c r="I17" s="11"/>
      <c r="J17" s="13"/>
    </row>
    <row r="18" spans="2:10" x14ac:dyDescent="0.3">
      <c r="B18" s="10"/>
      <c r="C18" s="11"/>
      <c r="D18" s="11"/>
      <c r="E18" s="34" t="s">
        <v>6</v>
      </c>
      <c r="F18" s="11"/>
      <c r="G18" s="11"/>
      <c r="H18" s="11"/>
      <c r="I18" s="34" t="s">
        <v>7</v>
      </c>
      <c r="J18" s="13"/>
    </row>
    <row r="19" spans="2:10" ht="18" x14ac:dyDescent="0.3">
      <c r="B19" s="10"/>
      <c r="C19" s="22">
        <f>IFERROR(D19/$G$4-1,"")</f>
        <v>6.25E-2</v>
      </c>
      <c r="D19" s="35">
        <f>(E19*G19)+G13</f>
        <v>12750</v>
      </c>
      <c r="E19" s="4">
        <v>2</v>
      </c>
      <c r="F19" s="11"/>
      <c r="G19" s="5">
        <v>6000</v>
      </c>
      <c r="H19" s="11"/>
      <c r="I19" s="22">
        <f>IF($G$15="","",IFERROR(RATE(E19,G19,-$G$15),"NÃO ACEITE"))</f>
        <v>4.4126919316257188E-2</v>
      </c>
      <c r="J19" s="13"/>
    </row>
    <row r="20" spans="2:10" ht="18" x14ac:dyDescent="0.3">
      <c r="B20" s="10"/>
      <c r="C20" s="22">
        <f>IFERROR(D20/$G$4-1,"")</f>
        <v>-0.27083333333333337</v>
      </c>
      <c r="D20" s="35">
        <f>(E20*G20)+G13</f>
        <v>8750</v>
      </c>
      <c r="E20" s="4">
        <v>10</v>
      </c>
      <c r="F20" s="11"/>
      <c r="G20" s="5">
        <v>800</v>
      </c>
      <c r="H20" s="11"/>
      <c r="I20" s="22">
        <f>IF($G$15="","",IFERROR(RATE(E20,G20,-$G$15),"NÃO ACEITE"))</f>
        <v>-5.762539221753335E-2</v>
      </c>
      <c r="J20" s="13"/>
    </row>
    <row r="21" spans="2:10" ht="18" x14ac:dyDescent="0.3">
      <c r="B21" s="10"/>
      <c r="C21" s="22">
        <f>IFERROR(D21/$G$4-1,"")</f>
        <v>0.25416666666666665</v>
      </c>
      <c r="D21" s="35">
        <f>(E21*G21)+G13</f>
        <v>15050</v>
      </c>
      <c r="E21" s="4">
        <v>22</v>
      </c>
      <c r="F21" s="11"/>
      <c r="G21" s="5">
        <v>650</v>
      </c>
      <c r="H21" s="11"/>
      <c r="I21" s="22">
        <f>IF($G$15="","",IFERROR(RATE(E21,G21,-$G$15),"NÃO ACEITE"))</f>
        <v>2.1917940079976127E-2</v>
      </c>
      <c r="J21" s="13"/>
    </row>
    <row r="22" spans="2:10" x14ac:dyDescent="0.3">
      <c r="B22" s="10"/>
      <c r="C22" s="11"/>
      <c r="D22" s="11"/>
      <c r="E22" s="11"/>
      <c r="F22" s="11"/>
      <c r="G22" s="11"/>
      <c r="H22" s="11"/>
      <c r="I22" s="11"/>
      <c r="J22" s="13"/>
    </row>
    <row r="23" spans="2:10" ht="9" customHeight="1" thickBot="1" x14ac:dyDescent="0.35">
      <c r="B23" s="25"/>
      <c r="C23" s="26"/>
      <c r="D23" s="26"/>
      <c r="E23" s="26"/>
      <c r="F23" s="26"/>
      <c r="G23" s="26"/>
      <c r="H23" s="26"/>
      <c r="I23" s="26"/>
      <c r="J23" s="28"/>
    </row>
    <row r="24" spans="2:10" ht="15" thickBot="1" x14ac:dyDescent="0.35">
      <c r="G24" s="29"/>
    </row>
    <row r="25" spans="2:10" x14ac:dyDescent="0.3">
      <c r="B25" s="7"/>
      <c r="C25" s="8"/>
      <c r="D25" s="8"/>
      <c r="E25" s="8"/>
      <c r="F25" s="8"/>
      <c r="G25" s="8"/>
      <c r="H25" s="8"/>
      <c r="I25" s="8"/>
      <c r="J25" s="9"/>
    </row>
    <row r="26" spans="2:10" x14ac:dyDescent="0.3">
      <c r="B26" s="10"/>
      <c r="C26" s="11"/>
      <c r="D26" s="34" t="s">
        <v>7</v>
      </c>
      <c r="E26" s="11"/>
      <c r="F26" s="11"/>
      <c r="G26" s="11"/>
      <c r="H26" s="11"/>
      <c r="I26" s="11"/>
      <c r="J26" s="13"/>
    </row>
    <row r="27" spans="2:10" ht="39" customHeight="1" x14ac:dyDescent="0.3">
      <c r="B27" s="10"/>
      <c r="C27" s="11"/>
      <c r="D27" s="39">
        <v>0.03</v>
      </c>
      <c r="E27" s="33" t="s">
        <v>8</v>
      </c>
      <c r="F27" s="11"/>
      <c r="G27" s="18">
        <f>G15</f>
        <v>11250</v>
      </c>
      <c r="H27" s="11"/>
      <c r="I27" s="11"/>
      <c r="J27" s="13"/>
    </row>
    <row r="28" spans="2:10" x14ac:dyDescent="0.3">
      <c r="B28" s="10"/>
      <c r="C28" s="11"/>
      <c r="D28" s="40" t="s">
        <v>14</v>
      </c>
      <c r="F28" s="11"/>
      <c r="H28" s="11"/>
      <c r="I28" s="190" t="s">
        <v>11</v>
      </c>
      <c r="J28" s="13"/>
    </row>
    <row r="29" spans="2:10" x14ac:dyDescent="0.3">
      <c r="B29" s="10"/>
      <c r="C29" s="11"/>
      <c r="D29" s="11"/>
      <c r="E29" s="11"/>
      <c r="F29" s="11"/>
      <c r="G29" s="36" t="s">
        <v>10</v>
      </c>
      <c r="H29" s="11"/>
      <c r="I29" s="190"/>
      <c r="J29" s="13"/>
    </row>
    <row r="30" spans="2:10" ht="7.5" customHeight="1" x14ac:dyDescent="0.3">
      <c r="B30" s="10"/>
      <c r="C30" s="11"/>
      <c r="D30" s="11"/>
      <c r="E30" s="11"/>
      <c r="F30" s="11"/>
      <c r="G30" s="11"/>
      <c r="H30" s="11"/>
      <c r="I30" s="11"/>
      <c r="J30" s="13"/>
    </row>
    <row r="31" spans="2:10" ht="18" x14ac:dyDescent="0.3">
      <c r="B31" s="10"/>
      <c r="C31" s="11"/>
      <c r="D31" s="4">
        <v>2</v>
      </c>
      <c r="E31" s="37">
        <f>IFERROR(PMT($D$27,D31,-$G$27),"")</f>
        <v>5879.3719211822663</v>
      </c>
      <c r="F31" s="11"/>
      <c r="G31" s="38">
        <f>IFERROR((D31*E31)+$G$13,"")</f>
        <v>12508.743842364533</v>
      </c>
      <c r="H31" s="11"/>
      <c r="I31" s="22">
        <f>IFERROR((G31/($G$13+$G$27))-1,"")</f>
        <v>4.2395320197044395E-2</v>
      </c>
      <c r="J31" s="13"/>
    </row>
    <row r="32" spans="2:10" ht="18" x14ac:dyDescent="0.3">
      <c r="B32" s="10"/>
      <c r="C32" s="11"/>
      <c r="D32" s="4">
        <v>4</v>
      </c>
      <c r="E32" s="37">
        <f t="shared" ref="E32:E38" si="0">IFERROR(PMT($D$27,D32,-$G$27),"")</f>
        <v>3026.5542584221776</v>
      </c>
      <c r="F32" s="11"/>
      <c r="G32" s="38">
        <f>IFERROR((D32*E32)+$G$13,"")</f>
        <v>12856.21703368871</v>
      </c>
      <c r="H32" s="11"/>
      <c r="I32" s="22">
        <f t="shared" ref="I32:I38" si="1">IFERROR((G32/($G$13+$G$27))-1,"")</f>
        <v>7.1351419474059208E-2</v>
      </c>
      <c r="J32" s="13"/>
    </row>
    <row r="33" spans="2:10" ht="18" x14ac:dyDescent="0.3">
      <c r="B33" s="10"/>
      <c r="C33" s="11"/>
      <c r="D33" s="4">
        <v>6</v>
      </c>
      <c r="E33" s="37">
        <f t="shared" si="0"/>
        <v>2076.7218800644932</v>
      </c>
      <c r="F33" s="11"/>
      <c r="G33" s="38">
        <f t="shared" ref="G33:G38" si="2">IFERROR((D33*E33)+$G$13,"")</f>
        <v>13210.331280386959</v>
      </c>
      <c r="H33" s="11"/>
      <c r="I33" s="22">
        <f t="shared" si="1"/>
        <v>0.10086094003224666</v>
      </c>
      <c r="J33" s="13"/>
    </row>
    <row r="34" spans="2:10" ht="18" x14ac:dyDescent="0.3">
      <c r="B34" s="10"/>
      <c r="C34" s="11"/>
      <c r="D34" s="4">
        <v>10</v>
      </c>
      <c r="E34" s="37">
        <f t="shared" si="0"/>
        <v>1318.8431993080453</v>
      </c>
      <c r="F34" s="11"/>
      <c r="G34" s="38">
        <f t="shared" si="2"/>
        <v>13938.431993080452</v>
      </c>
      <c r="H34" s="11"/>
      <c r="I34" s="22">
        <f t="shared" si="1"/>
        <v>0.16153599942337094</v>
      </c>
      <c r="J34" s="13"/>
    </row>
    <row r="35" spans="2:10" ht="18" x14ac:dyDescent="0.3">
      <c r="B35" s="10"/>
      <c r="C35" s="11"/>
      <c r="D35" s="4">
        <v>12</v>
      </c>
      <c r="E35" s="37">
        <f t="shared" si="0"/>
        <v>1130.1984615708338</v>
      </c>
      <c r="F35" s="11"/>
      <c r="G35" s="38">
        <f t="shared" si="2"/>
        <v>14312.381538850006</v>
      </c>
      <c r="H35" s="11"/>
      <c r="I35" s="22">
        <f t="shared" si="1"/>
        <v>0.19269846157083381</v>
      </c>
      <c r="J35" s="13"/>
    </row>
    <row r="36" spans="2:10" ht="18" x14ac:dyDescent="0.3">
      <c r="B36" s="10"/>
      <c r="C36" s="11"/>
      <c r="D36" s="4">
        <v>18</v>
      </c>
      <c r="E36" s="37">
        <f t="shared" si="0"/>
        <v>817.97282883334105</v>
      </c>
      <c r="F36" s="11"/>
      <c r="G36" s="38">
        <f t="shared" si="2"/>
        <v>15473.510919000139</v>
      </c>
      <c r="H36" s="11"/>
      <c r="I36" s="22">
        <f t="shared" si="1"/>
        <v>0.2894592432500116</v>
      </c>
      <c r="J36" s="13"/>
    </row>
    <row r="37" spans="2:10" ht="18" x14ac:dyDescent="0.3">
      <c r="B37" s="10"/>
      <c r="C37" s="11"/>
      <c r="D37" s="4">
        <v>24</v>
      </c>
      <c r="E37" s="37">
        <f t="shared" si="0"/>
        <v>664.28342942591121</v>
      </c>
      <c r="F37" s="11"/>
      <c r="G37" s="38">
        <f t="shared" si="2"/>
        <v>16692.802306221871</v>
      </c>
      <c r="H37" s="11"/>
      <c r="I37" s="22">
        <f t="shared" si="1"/>
        <v>0.39106685885182246</v>
      </c>
      <c r="J37" s="13"/>
    </row>
    <row r="38" spans="2:10" ht="18" x14ac:dyDescent="0.3">
      <c r="B38" s="10"/>
      <c r="C38" s="11"/>
      <c r="D38" s="4">
        <v>36</v>
      </c>
      <c r="E38" s="37">
        <f t="shared" si="0"/>
        <v>515.29268457176704</v>
      </c>
      <c r="F38" s="11"/>
      <c r="G38" s="38">
        <f t="shared" si="2"/>
        <v>19300.536644583612</v>
      </c>
      <c r="H38" s="11"/>
      <c r="I38" s="22">
        <f t="shared" si="1"/>
        <v>0.60837805371530096</v>
      </c>
      <c r="J38" s="13"/>
    </row>
    <row r="39" spans="2:10" x14ac:dyDescent="0.3">
      <c r="B39" s="10"/>
      <c r="C39" s="11"/>
      <c r="D39" s="11"/>
      <c r="E39" s="11"/>
      <c r="F39" s="11"/>
      <c r="G39" s="11"/>
      <c r="H39" s="11"/>
      <c r="I39" s="11"/>
      <c r="J39" s="13"/>
    </row>
    <row r="40" spans="2:10" ht="15" thickBot="1" x14ac:dyDescent="0.35">
      <c r="B40" s="25"/>
      <c r="C40" s="26"/>
      <c r="D40" s="26"/>
      <c r="E40" s="26"/>
      <c r="F40" s="26"/>
      <c r="G40" s="26"/>
      <c r="H40" s="26"/>
      <c r="I40" s="26"/>
      <c r="J40" s="28"/>
    </row>
  </sheetData>
  <mergeCells count="2">
    <mergeCell ref="C7:D7"/>
    <mergeCell ref="I28:I29"/>
  </mergeCells>
  <conditionalFormatting sqref="I7">
    <cfRule type="cellIs" dxfId="38" priority="9" stopIfTrue="1" operator="greaterThan">
      <formula>0</formula>
    </cfRule>
  </conditionalFormatting>
  <conditionalFormatting sqref="C13">
    <cfRule type="cellIs" dxfId="37" priority="7" stopIfTrue="1" operator="equal">
      <formula>0</formula>
    </cfRule>
    <cfRule type="cellIs" dxfId="36" priority="8" stopIfTrue="1" operator="equal">
      <formula>""</formula>
    </cfRule>
  </conditionalFormatting>
  <conditionalFormatting sqref="I19:I21">
    <cfRule type="cellIs" dxfId="35" priority="5" stopIfTrue="1" operator="lessThan">
      <formula>0</formula>
    </cfRule>
    <cfRule type="cellIs" dxfId="34" priority="6" stopIfTrue="1" operator="greaterThan">
      <formula>0</formula>
    </cfRule>
  </conditionalFormatting>
  <conditionalFormatting sqref="C19:C21">
    <cfRule type="cellIs" dxfId="33" priority="4" stopIfTrue="1" operator="greaterThan">
      <formula>0</formula>
    </cfRule>
  </conditionalFormatting>
  <conditionalFormatting sqref="D27">
    <cfRule type="cellIs" dxfId="32" priority="2" stopIfTrue="1" operator="lessThan">
      <formula>0</formula>
    </cfRule>
    <cfRule type="cellIs" dxfId="31" priority="3" stopIfTrue="1" operator="greaterThan">
      <formula>0</formula>
    </cfRule>
  </conditionalFormatting>
  <conditionalFormatting sqref="I31:I38">
    <cfRule type="cellIs" dxfId="30" priority="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8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52"/>
  <sheetViews>
    <sheetView showGridLines="0" tabSelected="1" zoomScale="90" zoomScaleNormal="90" workbookViewId="0">
      <selection activeCell="C10" sqref="C10"/>
    </sheetView>
  </sheetViews>
  <sheetFormatPr defaultColWidth="9.109375" defaultRowHeight="14.4" x14ac:dyDescent="0.3"/>
  <cols>
    <col min="1" max="1" width="5.109375" style="6" customWidth="1"/>
    <col min="2" max="2" width="6.44140625" style="6" customWidth="1"/>
    <col min="3" max="3" width="27.109375" style="6" customWidth="1"/>
    <col min="4" max="4" width="2.44140625" style="6" customWidth="1"/>
    <col min="5" max="5" width="22.109375" style="6" customWidth="1"/>
    <col min="6" max="6" width="2.44140625" style="6" customWidth="1"/>
    <col min="7" max="7" width="20.44140625" style="6" customWidth="1"/>
    <col min="8" max="8" width="2.44140625" style="6" customWidth="1"/>
    <col min="9" max="10" width="10.44140625" style="6" customWidth="1"/>
    <col min="11" max="11" width="4.33203125" style="6" customWidth="1"/>
    <col min="12" max="13" width="10.44140625" style="6" customWidth="1"/>
    <col min="14" max="14" width="5.44140625" style="6" customWidth="1"/>
    <col min="15" max="15" width="9.109375" style="6"/>
    <col min="16" max="26" width="8.109375" style="6" customWidth="1"/>
    <col min="27" max="30" width="2.5546875" style="6" customWidth="1"/>
    <col min="31" max="32" width="14" style="6" customWidth="1"/>
    <col min="33" max="33" width="11.5546875" style="6" customWidth="1"/>
    <col min="34" max="34" width="13.6640625" style="6" customWidth="1"/>
    <col min="35" max="36" width="12.6640625" style="6" bestFit="1" customWidth="1"/>
    <col min="37" max="37" width="10.44140625" style="6" bestFit="1" customWidth="1"/>
    <col min="38" max="39" width="9.109375" style="6"/>
    <col min="40" max="40" width="10.5546875" style="6" bestFit="1" customWidth="1"/>
    <col min="41" max="16384" width="9.109375" style="6"/>
  </cols>
  <sheetData>
    <row r="1" spans="2:40" ht="15" thickBot="1" x14ac:dyDescent="0.35"/>
    <row r="2" spans="2:40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AE2" s="6" t="s">
        <v>19</v>
      </c>
    </row>
    <row r="3" spans="2:40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3"/>
      <c r="AE3" s="6" t="s">
        <v>64</v>
      </c>
      <c r="AF3" s="6" t="s">
        <v>65</v>
      </c>
      <c r="AK3" s="81">
        <f>C19</f>
        <v>3.8</v>
      </c>
      <c r="AL3" s="82">
        <f>J19</f>
        <v>11.549999999999999</v>
      </c>
      <c r="AN3" s="76">
        <f>AL3*AK3</f>
        <v>43.889999999999993</v>
      </c>
    </row>
    <row r="4" spans="2:40" x14ac:dyDescent="0.3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3"/>
      <c r="AE4" s="75">
        <f>L17/J19</f>
        <v>21.645021645021647</v>
      </c>
      <c r="AF4" s="75">
        <f>M17/J19</f>
        <v>43.290043290043293</v>
      </c>
      <c r="AH4" s="75">
        <f>M19/J19</f>
        <v>32.467532467532472</v>
      </c>
    </row>
    <row r="5" spans="2:40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  <c r="AE5" s="78">
        <f>AE4*C19</f>
        <v>82.251082251082252</v>
      </c>
      <c r="AF5" s="79">
        <f>AF4*C19</f>
        <v>164.5021645021645</v>
      </c>
      <c r="AH5" s="76">
        <f>AH4*C19</f>
        <v>123.37662337662339</v>
      </c>
      <c r="AK5" s="81" t="s">
        <v>66</v>
      </c>
      <c r="AL5" s="82">
        <f>J24</f>
        <v>4.7</v>
      </c>
    </row>
    <row r="6" spans="2:40" x14ac:dyDescent="0.3">
      <c r="B6" s="10"/>
      <c r="C6" s="40" t="s">
        <v>5</v>
      </c>
      <c r="D6" s="11"/>
      <c r="F6" s="11"/>
      <c r="G6" s="11"/>
      <c r="H6" s="11"/>
      <c r="I6" s="11"/>
      <c r="J6" s="11"/>
      <c r="K6" s="11"/>
      <c r="L6" s="11"/>
      <c r="M6" s="11"/>
      <c r="N6" s="13"/>
    </row>
    <row r="7" spans="2:40" ht="15.6" x14ac:dyDescent="0.3">
      <c r="B7" s="10"/>
      <c r="C7" s="16">
        <f ca="1">TODAY()</f>
        <v>44080</v>
      </c>
      <c r="D7" s="11"/>
      <c r="F7" s="11"/>
      <c r="H7" s="11"/>
      <c r="I7" s="11"/>
      <c r="J7" s="11"/>
      <c r="K7" s="11"/>
      <c r="L7" s="11"/>
      <c r="M7" s="11"/>
      <c r="N7" s="13"/>
      <c r="AE7" s="6" t="s">
        <v>20</v>
      </c>
      <c r="AK7" s="6" t="s">
        <v>66</v>
      </c>
      <c r="AL7" s="6">
        <f>(AK3*AL3)/AL5</f>
        <v>9.3382978723404246</v>
      </c>
      <c r="AN7" s="6">
        <f>AL5*AL7</f>
        <v>43.89</v>
      </c>
    </row>
    <row r="8" spans="2:40" x14ac:dyDescent="0.3">
      <c r="B8" s="10"/>
      <c r="C8" s="11"/>
      <c r="D8" s="11"/>
      <c r="F8" s="11"/>
      <c r="N8" s="13"/>
      <c r="AE8" s="6" t="s">
        <v>64</v>
      </c>
      <c r="AF8" s="6" t="s">
        <v>65</v>
      </c>
    </row>
    <row r="9" spans="2:40" x14ac:dyDescent="0.3">
      <c r="B9" s="10"/>
      <c r="C9" s="105" t="s">
        <v>17</v>
      </c>
      <c r="D9" s="11"/>
      <c r="E9" s="43" t="s">
        <v>56</v>
      </c>
      <c r="F9" s="11"/>
      <c r="G9" s="43" t="s">
        <v>71</v>
      </c>
      <c r="N9" s="13"/>
      <c r="AE9" s="75">
        <f>L17/J24</f>
        <v>53.191489361702125</v>
      </c>
      <c r="AF9" s="75">
        <f>M17/J24</f>
        <v>106.38297872340425</v>
      </c>
      <c r="AH9" s="75">
        <f>M19/J24</f>
        <v>79.787234042553195</v>
      </c>
    </row>
    <row r="10" spans="2:40" ht="27" customHeight="1" x14ac:dyDescent="0.3">
      <c r="B10" s="10"/>
      <c r="C10" s="110">
        <v>45000</v>
      </c>
      <c r="D10" s="11"/>
      <c r="E10" s="111" t="s">
        <v>114</v>
      </c>
      <c r="F10" s="11"/>
      <c r="G10" s="112">
        <v>125252</v>
      </c>
      <c r="H10" s="11"/>
      <c r="K10" s="11"/>
      <c r="M10" s="11"/>
      <c r="N10" s="13"/>
      <c r="AE10" s="77">
        <f>AE9*C24</f>
        <v>140.95744680851064</v>
      </c>
      <c r="AF10" s="80">
        <f>AF9*C24</f>
        <v>281.91489361702128</v>
      </c>
      <c r="AH10" s="89">
        <f>AH9*C24</f>
        <v>211.43617021276597</v>
      </c>
    </row>
    <row r="11" spans="2:40" x14ac:dyDescent="0.3">
      <c r="B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</row>
    <row r="12" spans="2:40" x14ac:dyDescent="0.3">
      <c r="B12" s="10"/>
      <c r="C12" s="43" t="s">
        <v>15</v>
      </c>
      <c r="D12" s="11"/>
      <c r="E12" s="43" t="s">
        <v>16</v>
      </c>
      <c r="F12" s="11"/>
      <c r="G12" s="194" t="s">
        <v>60</v>
      </c>
      <c r="H12" s="194"/>
      <c r="I12" s="194"/>
      <c r="J12" s="194"/>
      <c r="K12" s="194"/>
      <c r="L12" s="194"/>
      <c r="M12" s="194"/>
      <c r="N12" s="13"/>
    </row>
    <row r="13" spans="2:40" ht="27" customHeight="1" x14ac:dyDescent="0.3">
      <c r="B13" s="10"/>
      <c r="C13" s="113" t="s">
        <v>115</v>
      </c>
      <c r="D13" s="11"/>
      <c r="E13" s="114">
        <v>2020</v>
      </c>
      <c r="F13" s="11"/>
      <c r="G13" s="191" t="s">
        <v>59</v>
      </c>
      <c r="H13" s="192"/>
      <c r="I13" s="192"/>
      <c r="J13" s="192"/>
      <c r="K13" s="192"/>
      <c r="L13" s="192"/>
      <c r="M13" s="193"/>
      <c r="N13" s="13"/>
    </row>
    <row r="14" spans="2:40" x14ac:dyDescent="0.3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/>
      <c r="AI14" s="106" t="s">
        <v>29</v>
      </c>
      <c r="AJ14" s="106" t="s">
        <v>76</v>
      </c>
    </row>
    <row r="15" spans="2:40" x14ac:dyDescent="0.3">
      <c r="B15" s="10"/>
      <c r="C15" s="11"/>
      <c r="D15" s="11"/>
      <c r="E15" s="11"/>
      <c r="F15" s="11"/>
      <c r="G15" s="11"/>
      <c r="H15" s="11"/>
      <c r="I15" s="72"/>
      <c r="J15" s="11"/>
      <c r="K15" s="11"/>
      <c r="L15" s="212" t="s">
        <v>68</v>
      </c>
      <c r="M15" s="212"/>
      <c r="N15" s="13"/>
      <c r="AE15" s="196" t="s">
        <v>31</v>
      </c>
      <c r="AF15" s="197"/>
      <c r="AI15" s="90">
        <f>C19</f>
        <v>3.8</v>
      </c>
      <c r="AJ15" s="90">
        <f>C24</f>
        <v>2.65</v>
      </c>
    </row>
    <row r="16" spans="2:40" ht="21" customHeight="1" thickBot="1" x14ac:dyDescent="0.35">
      <c r="B16" s="10"/>
      <c r="C16" s="88" t="str">
        <f>CONCATENATE("Limite MAX = R$ ",ROUND(C24/M25,2))</f>
        <v>Limite MAX = R$ 6,51</v>
      </c>
      <c r="E16" s="71"/>
      <c r="F16" s="11"/>
      <c r="H16" s="11"/>
      <c r="I16" s="198" t="s">
        <v>58</v>
      </c>
      <c r="J16" s="198"/>
      <c r="K16" s="11"/>
      <c r="L16" s="213"/>
      <c r="M16" s="213"/>
      <c r="N16" s="13"/>
      <c r="AE16" s="199" t="s">
        <v>32</v>
      </c>
      <c r="AF16" s="200"/>
      <c r="AI16" s="91">
        <f>AH4</f>
        <v>32.467532467532472</v>
      </c>
      <c r="AJ16" s="91">
        <f>AH9</f>
        <v>79.787234042553195</v>
      </c>
    </row>
    <row r="17" spans="2:36" ht="20.25" customHeight="1" x14ac:dyDescent="0.3">
      <c r="B17" s="10"/>
      <c r="C17" s="107" t="s">
        <v>27</v>
      </c>
      <c r="E17" s="202"/>
      <c r="F17" s="203"/>
      <c r="G17" s="204"/>
      <c r="H17" s="11"/>
      <c r="I17" s="98">
        <v>9</v>
      </c>
      <c r="J17" s="99">
        <v>12</v>
      </c>
      <c r="K17" s="11"/>
      <c r="L17" s="102">
        <v>250</v>
      </c>
      <c r="M17" s="102">
        <v>500</v>
      </c>
      <c r="N17" s="13"/>
      <c r="AE17" s="95">
        <f>(I17*$L$22)+(J17*$M$22)</f>
        <v>11.549999999999999</v>
      </c>
      <c r="AF17" s="96">
        <f>(I22*$L$22)+(J22*$M$22)</f>
        <v>4.7</v>
      </c>
      <c r="AI17" s="76">
        <f>AI15*AI16</f>
        <v>123.37662337662339</v>
      </c>
      <c r="AJ17" s="76">
        <f>AJ15*AJ16</f>
        <v>211.43617021276597</v>
      </c>
    </row>
    <row r="18" spans="2:36" ht="20.25" customHeight="1" x14ac:dyDescent="0.3">
      <c r="B18" s="10"/>
      <c r="C18" s="108" t="s">
        <v>62</v>
      </c>
      <c r="E18" s="205"/>
      <c r="F18" s="188"/>
      <c r="G18" s="206"/>
      <c r="H18" s="11"/>
      <c r="I18" s="65" t="s">
        <v>21</v>
      </c>
      <c r="J18" s="64" t="s">
        <v>22</v>
      </c>
      <c r="K18" s="49"/>
      <c r="L18" s="61" t="s">
        <v>23</v>
      </c>
      <c r="M18" s="61" t="s">
        <v>24</v>
      </c>
      <c r="N18" s="13"/>
      <c r="AE18" s="47" t="s">
        <v>29</v>
      </c>
      <c r="AF18" s="48" t="s">
        <v>30</v>
      </c>
    </row>
    <row r="19" spans="2:36" ht="23.4" customHeight="1" x14ac:dyDescent="0.3">
      <c r="B19" s="10"/>
      <c r="C19" s="109">
        <v>3.8</v>
      </c>
      <c r="E19" s="205"/>
      <c r="F19" s="188"/>
      <c r="G19" s="206"/>
      <c r="H19" s="11"/>
      <c r="I19" s="66" t="s">
        <v>33</v>
      </c>
      <c r="J19" s="74">
        <f>AE17</f>
        <v>11.549999999999999</v>
      </c>
      <c r="K19" s="11"/>
      <c r="L19" s="67" t="s">
        <v>33</v>
      </c>
      <c r="M19" s="73">
        <f>AF22</f>
        <v>375</v>
      </c>
      <c r="N19" s="13"/>
      <c r="AI19" s="6" t="str">
        <f>CONCATENATE("R$ ",AI15, " ",AI14)</f>
        <v>R$ 3,8 GASOL</v>
      </c>
      <c r="AJ19" s="6" t="str">
        <f>CONCATENATE("R$ ",AJ15, " ",AJ14)</f>
        <v>R$ 2,65 ETANOL</v>
      </c>
    </row>
    <row r="20" spans="2:36" ht="14.4" customHeight="1" x14ac:dyDescent="0.3">
      <c r="B20" s="10"/>
      <c r="C20" s="210">
        <f>C24/C19</f>
        <v>0.69736842105263164</v>
      </c>
      <c r="E20" s="205"/>
      <c r="F20" s="188"/>
      <c r="G20" s="206"/>
      <c r="H20" s="11"/>
      <c r="I20" s="188"/>
      <c r="J20" s="188"/>
      <c r="K20" s="11"/>
      <c r="L20" s="214" t="s">
        <v>61</v>
      </c>
      <c r="M20" s="214"/>
      <c r="N20" s="13"/>
      <c r="S20" s="92" t="s">
        <v>72</v>
      </c>
    </row>
    <row r="21" spans="2:36" ht="21" customHeight="1" x14ac:dyDescent="0.3">
      <c r="B21" s="10"/>
      <c r="C21" s="211"/>
      <c r="E21" s="205"/>
      <c r="F21" s="188"/>
      <c r="G21" s="206"/>
      <c r="H21" s="11"/>
      <c r="I21" s="198" t="s">
        <v>57</v>
      </c>
      <c r="J21" s="198"/>
      <c r="K21" s="11"/>
      <c r="L21" s="215"/>
      <c r="M21" s="215"/>
      <c r="N21" s="13"/>
      <c r="R21" s="201" t="s">
        <v>73</v>
      </c>
      <c r="S21" s="201"/>
      <c r="T21" s="201"/>
      <c r="U21" s="201"/>
      <c r="V21" s="201"/>
      <c r="W21" s="201"/>
      <c r="AE21" s="195" t="s">
        <v>25</v>
      </c>
      <c r="AF21" s="195"/>
      <c r="AG21" s="195"/>
    </row>
    <row r="22" spans="2:36" ht="20.25" customHeight="1" x14ac:dyDescent="0.3">
      <c r="B22" s="10"/>
      <c r="C22" s="68" t="s">
        <v>27</v>
      </c>
      <c r="E22" s="205"/>
      <c r="F22" s="188"/>
      <c r="G22" s="206"/>
      <c r="H22" s="11"/>
      <c r="I22" s="100">
        <v>3</v>
      </c>
      <c r="J22" s="101">
        <v>5</v>
      </c>
      <c r="K22" s="11"/>
      <c r="L22" s="103">
        <v>0.15</v>
      </c>
      <c r="M22" s="97">
        <f>1-L22</f>
        <v>0.85</v>
      </c>
      <c r="N22" s="13"/>
      <c r="R22" s="201"/>
      <c r="S22" s="201"/>
      <c r="T22" s="201"/>
      <c r="U22" s="201"/>
      <c r="V22" s="201"/>
      <c r="W22" s="201"/>
      <c r="AE22" s="44">
        <f>L17</f>
        <v>250</v>
      </c>
      <c r="AF22" s="45">
        <f>AVERAGE(AE22,AG22)</f>
        <v>375</v>
      </c>
      <c r="AG22" s="44">
        <f>M17</f>
        <v>500</v>
      </c>
    </row>
    <row r="23" spans="2:36" ht="20.25" customHeight="1" x14ac:dyDescent="0.3">
      <c r="B23" s="10"/>
      <c r="C23" s="69" t="s">
        <v>63</v>
      </c>
      <c r="E23" s="205"/>
      <c r="F23" s="188"/>
      <c r="G23" s="206"/>
      <c r="H23" s="11"/>
      <c r="I23" s="70" t="s">
        <v>21</v>
      </c>
      <c r="J23" s="63" t="s">
        <v>22</v>
      </c>
      <c r="K23" s="49"/>
      <c r="L23" s="47" t="s">
        <v>21</v>
      </c>
      <c r="M23" s="48" t="s">
        <v>22</v>
      </c>
      <c r="N23" s="13"/>
      <c r="R23" s="201"/>
      <c r="S23" s="201"/>
      <c r="T23" s="201"/>
      <c r="U23" s="201"/>
      <c r="V23" s="201"/>
      <c r="W23" s="201"/>
      <c r="AE23" s="106" t="s">
        <v>23</v>
      </c>
      <c r="AF23" s="46" t="s">
        <v>33</v>
      </c>
      <c r="AG23" s="106" t="s">
        <v>24</v>
      </c>
    </row>
    <row r="24" spans="2:36" ht="23.4" customHeight="1" thickBot="1" x14ac:dyDescent="0.35">
      <c r="B24" s="10"/>
      <c r="C24" s="104">
        <v>2.65</v>
      </c>
      <c r="E24" s="207"/>
      <c r="F24" s="208"/>
      <c r="G24" s="209"/>
      <c r="H24" s="11"/>
      <c r="I24" s="66" t="s">
        <v>33</v>
      </c>
      <c r="J24" s="74">
        <f>AF17</f>
        <v>4.7</v>
      </c>
      <c r="K24" s="11"/>
      <c r="L24" s="11"/>
      <c r="M24" s="11"/>
      <c r="N24" s="13"/>
      <c r="W24" s="93" t="s">
        <v>74</v>
      </c>
    </row>
    <row r="25" spans="2:36" ht="23.4" customHeight="1" thickBot="1" x14ac:dyDescent="0.4">
      <c r="B25" s="10"/>
      <c r="C25" s="84" t="str">
        <f>CONCATENATE("Limite MAX = R$ ",ROUND(C19*M25,2))</f>
        <v>Limite MAX = R$ 1,55</v>
      </c>
      <c r="E25" s="216" t="str">
        <f>IF(C24&lt;AE26,"MELHOR ABASTECER COM ETANOL",IF(C19&lt;AE25,"MELHOR ABASTECER COM GASOLINA","TANTO FAZ!!!"))</f>
        <v>MELHOR ABASTECER COM GASOLINA</v>
      </c>
      <c r="F25" s="216"/>
      <c r="G25" s="216"/>
      <c r="H25" s="11"/>
      <c r="I25" s="83"/>
      <c r="J25" s="74"/>
      <c r="K25" s="85"/>
      <c r="L25" s="87" t="s">
        <v>67</v>
      </c>
      <c r="M25" s="86">
        <f>J24/J19</f>
        <v>0.40692640692640697</v>
      </c>
      <c r="N25" s="13"/>
      <c r="W25" s="94" t="s">
        <v>75</v>
      </c>
      <c r="AD25" s="6">
        <f>IF(C19&lt;AE25,1,0)</f>
        <v>1</v>
      </c>
      <c r="AE25" s="6">
        <f>ROUND(C24/M25,2)</f>
        <v>6.51</v>
      </c>
      <c r="AF25" s="6" t="s">
        <v>69</v>
      </c>
    </row>
    <row r="26" spans="2:36" ht="15" thickBot="1" x14ac:dyDescent="0.35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8"/>
      <c r="AD26" s="6">
        <f>IF(C24&lt;AE26,1,0)</f>
        <v>0</v>
      </c>
      <c r="AE26" s="6">
        <f>ROUND(C19*M25,2)</f>
        <v>1.55</v>
      </c>
      <c r="AF26" s="6" t="s">
        <v>70</v>
      </c>
    </row>
    <row r="27" spans="2:36" x14ac:dyDescent="0.3">
      <c r="C27" s="185" t="s">
        <v>110</v>
      </c>
    </row>
    <row r="28" spans="2:36" ht="17.25" customHeight="1" thickBot="1" x14ac:dyDescent="0.35"/>
    <row r="29" spans="2:36" x14ac:dyDescent="0.3">
      <c r="B29" s="202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4"/>
    </row>
    <row r="30" spans="2:36" x14ac:dyDescent="0.3">
      <c r="B30" s="205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206"/>
    </row>
    <row r="31" spans="2:36" x14ac:dyDescent="0.3">
      <c r="B31" s="205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206"/>
    </row>
    <row r="32" spans="2:36" x14ac:dyDescent="0.3">
      <c r="B32" s="205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206"/>
    </row>
    <row r="33" spans="2:14" x14ac:dyDescent="0.3">
      <c r="B33" s="205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206"/>
    </row>
    <row r="34" spans="2:14" x14ac:dyDescent="0.3">
      <c r="B34" s="205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206"/>
    </row>
    <row r="35" spans="2:14" x14ac:dyDescent="0.3">
      <c r="B35" s="205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206"/>
    </row>
    <row r="36" spans="2:14" x14ac:dyDescent="0.3">
      <c r="B36" s="205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206"/>
    </row>
    <row r="37" spans="2:14" x14ac:dyDescent="0.3">
      <c r="B37" s="205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206"/>
    </row>
    <row r="38" spans="2:14" x14ac:dyDescent="0.3">
      <c r="B38" s="205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206"/>
    </row>
    <row r="39" spans="2:14" x14ac:dyDescent="0.3">
      <c r="B39" s="205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206"/>
    </row>
    <row r="40" spans="2:14" x14ac:dyDescent="0.3">
      <c r="B40" s="205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206"/>
    </row>
    <row r="41" spans="2:14" x14ac:dyDescent="0.3">
      <c r="B41" s="205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206"/>
    </row>
    <row r="42" spans="2:14" x14ac:dyDescent="0.3">
      <c r="B42" s="205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206"/>
    </row>
    <row r="43" spans="2:14" x14ac:dyDescent="0.3">
      <c r="B43" s="205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206"/>
    </row>
    <row r="44" spans="2:14" x14ac:dyDescent="0.3">
      <c r="B44" s="205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206"/>
    </row>
    <row r="45" spans="2:14" x14ac:dyDescent="0.3">
      <c r="B45" s="205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206"/>
    </row>
    <row r="46" spans="2:14" ht="15" thickBot="1" x14ac:dyDescent="0.35">
      <c r="B46" s="207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9"/>
    </row>
    <row r="52" spans="22:22" x14ac:dyDescent="0.3">
      <c r="V52"/>
    </row>
  </sheetData>
  <sheetProtection algorithmName="SHA-512" hashValue="cMnyP67hrHu6zzLi9gZQK5MVGnhIQGh5h7uOhFh+C3dXaN91AVcpjNtzddmXBZ8T/IXmBZ8LPR/4Tg7brhzr8g==" saltValue="UlLVQUVF+ud78leyCIILpw==" spinCount="100000" sheet="1" objects="1" scenarios="1" selectLockedCells="1"/>
  <mergeCells count="15">
    <mergeCell ref="B29:N46"/>
    <mergeCell ref="C20:C21"/>
    <mergeCell ref="L15:M16"/>
    <mergeCell ref="L20:M21"/>
    <mergeCell ref="E25:G25"/>
    <mergeCell ref="G13:M13"/>
    <mergeCell ref="G12:M12"/>
    <mergeCell ref="AE21:AG21"/>
    <mergeCell ref="I20:J20"/>
    <mergeCell ref="AE15:AF15"/>
    <mergeCell ref="I16:J16"/>
    <mergeCell ref="I21:J21"/>
    <mergeCell ref="AE16:AF16"/>
    <mergeCell ref="R21:W23"/>
    <mergeCell ref="E17:G24"/>
  </mergeCells>
  <conditionalFormatting sqref="E25:G25">
    <cfRule type="expression" dxfId="29" priority="1" stopIfTrue="1">
      <formula>IF($AD$26=1,1,0)</formula>
    </cfRule>
    <cfRule type="expression" dxfId="28" priority="2" stopIfTrue="1">
      <formula>IF($AD$25=1,1,0)</formula>
    </cfRule>
    <cfRule type="expression" dxfId="27" priority="3" stopIfTrue="1">
      <formula>IF(AND($AD$25=0,$AD$26=0),1,0)</formula>
    </cfRule>
  </conditionalFormatting>
  <hyperlinks>
    <hyperlink ref="R21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Z64"/>
  <sheetViews>
    <sheetView showGridLines="0" zoomScale="90" zoomScaleNormal="90" workbookViewId="0">
      <selection activeCell="C53" sqref="C53"/>
    </sheetView>
  </sheetViews>
  <sheetFormatPr defaultColWidth="9.109375" defaultRowHeight="14.4" x14ac:dyDescent="0.3"/>
  <cols>
    <col min="1" max="1" width="5.109375" style="6" customWidth="1"/>
    <col min="2" max="2" width="4.44140625" style="6" customWidth="1"/>
    <col min="3" max="3" width="10.44140625" style="6" customWidth="1"/>
    <col min="4" max="4" width="2.44140625" style="6" customWidth="1"/>
    <col min="5" max="5" width="20.6640625" style="6" customWidth="1"/>
    <col min="6" max="6" width="2.44140625" style="6" customWidth="1"/>
    <col min="7" max="7" width="11.88671875" style="6" customWidth="1"/>
    <col min="8" max="8" width="11.6640625" style="6" customWidth="1"/>
    <col min="9" max="9" width="2.44140625" style="6" customWidth="1"/>
    <col min="10" max="11" width="11.6640625" style="6" customWidth="1"/>
    <col min="12" max="12" width="2.44140625" style="6" customWidth="1"/>
    <col min="13" max="14" width="10.6640625" style="6" customWidth="1"/>
    <col min="15" max="15" width="2.44140625" style="6" customWidth="1"/>
    <col min="16" max="16" width="10.44140625" style="6" customWidth="1"/>
    <col min="17" max="17" width="4.44140625" style="6" customWidth="1"/>
    <col min="18" max="18" width="9.109375" style="6"/>
    <col min="19" max="26" width="13" style="6" customWidth="1"/>
    <col min="27" max="27" width="2.5546875" style="6" hidden="1" customWidth="1"/>
    <col min="28" max="29" width="13.88671875" style="6" hidden="1" customWidth="1"/>
    <col min="30" max="30" width="11.5546875" style="6" hidden="1" customWidth="1"/>
    <col min="31" max="31" width="9.109375" style="6" hidden="1" customWidth="1"/>
    <col min="32" max="32" width="17.5546875" style="6" hidden="1" customWidth="1"/>
    <col min="33" max="33" width="9.109375" style="6" hidden="1" customWidth="1"/>
    <col min="34" max="34" width="3.33203125" style="6" hidden="1" customWidth="1"/>
    <col min="35" max="35" width="9.109375" style="6" hidden="1" customWidth="1"/>
    <col min="36" max="36" width="6.109375" style="6" hidden="1" customWidth="1"/>
    <col min="37" max="39" width="9.109375" style="6" hidden="1" customWidth="1"/>
    <col min="40" max="41" width="2.33203125" style="6" hidden="1" customWidth="1"/>
    <col min="42" max="42" width="12.6640625" style="6" hidden="1" customWidth="1"/>
    <col min="43" max="43" width="24" style="6" hidden="1" customWidth="1"/>
    <col min="44" max="44" width="17.88671875" style="6" hidden="1" customWidth="1"/>
    <col min="45" max="46" width="9.109375" style="6" hidden="1" customWidth="1"/>
    <col min="47" max="48" width="2.33203125" style="6" hidden="1" customWidth="1"/>
    <col min="49" max="49" width="9.109375" style="6" hidden="1" customWidth="1"/>
    <col min="50" max="50" width="13.6640625" style="6" hidden="1" customWidth="1"/>
    <col min="51" max="51" width="24" style="6" hidden="1" customWidth="1"/>
    <col min="52" max="52" width="20.44140625" style="6" hidden="1" customWidth="1"/>
    <col min="53" max="53" width="9.109375" style="6" hidden="1" customWidth="1"/>
    <col min="54" max="54" width="2.33203125" style="6" hidden="1" customWidth="1"/>
    <col min="55" max="55" width="10.88671875" style="6" hidden="1" customWidth="1"/>
    <col min="56" max="56" width="2.33203125" style="6" hidden="1" customWidth="1"/>
    <col min="57" max="57" width="13.44140625" style="6" hidden="1" customWidth="1"/>
    <col min="58" max="78" width="9.109375" style="6" hidden="1" customWidth="1"/>
    <col min="79" max="16384" width="9.109375" style="6"/>
  </cols>
  <sheetData>
    <row r="1" spans="2:57" ht="15" thickBot="1" x14ac:dyDescent="0.35"/>
    <row r="2" spans="2:57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2:57" x14ac:dyDescent="0.3">
      <c r="B3" s="10"/>
      <c r="D3" s="11"/>
      <c r="E3" s="11"/>
      <c r="F3" s="11"/>
      <c r="G3" s="217" t="s">
        <v>5</v>
      </c>
      <c r="H3" s="217"/>
      <c r="I3" s="11"/>
      <c r="J3" s="11"/>
      <c r="K3" s="11"/>
      <c r="L3" s="11"/>
      <c r="M3" s="11"/>
      <c r="N3" s="11"/>
      <c r="O3" s="11"/>
      <c r="Q3" s="13"/>
    </row>
    <row r="4" spans="2:57" ht="15.6" x14ac:dyDescent="0.3">
      <c r="B4" s="10"/>
      <c r="D4" s="11"/>
      <c r="E4" s="11"/>
      <c r="F4" s="11"/>
      <c r="G4" s="218">
        <f ca="1">TODAY()</f>
        <v>44080</v>
      </c>
      <c r="H4" s="218"/>
      <c r="I4" s="11"/>
      <c r="J4" s="188" t="s">
        <v>19</v>
      </c>
      <c r="K4" s="188"/>
      <c r="L4" s="11"/>
      <c r="M4" s="188" t="s">
        <v>20</v>
      </c>
      <c r="N4" s="188"/>
      <c r="O4" s="11"/>
      <c r="Q4" s="13"/>
    </row>
    <row r="5" spans="2:57" ht="15.6" x14ac:dyDescent="0.3">
      <c r="B5" s="10"/>
      <c r="C5" s="116"/>
      <c r="D5" s="11"/>
      <c r="E5" s="11"/>
      <c r="F5" s="11"/>
      <c r="G5" s="11"/>
      <c r="H5" s="11"/>
      <c r="I5" s="11"/>
      <c r="J5" s="220" t="s">
        <v>27</v>
      </c>
      <c r="K5" s="220"/>
      <c r="L5" s="11"/>
      <c r="M5" s="223" t="s">
        <v>27</v>
      </c>
      <c r="N5" s="223"/>
      <c r="O5" s="11"/>
      <c r="P5" s="11"/>
      <c r="Q5" s="13"/>
    </row>
    <row r="6" spans="2:57" ht="15.6" x14ac:dyDescent="0.3">
      <c r="B6" s="10"/>
      <c r="C6" s="116"/>
      <c r="D6" s="11"/>
      <c r="E6" s="11"/>
      <c r="F6" s="11"/>
      <c r="G6" s="11"/>
      <c r="H6" s="11"/>
      <c r="I6" s="11"/>
      <c r="J6" s="221" t="s">
        <v>26</v>
      </c>
      <c r="K6" s="221"/>
      <c r="L6" s="11"/>
      <c r="M6" s="224" t="s">
        <v>28</v>
      </c>
      <c r="N6" s="224"/>
      <c r="O6" s="11"/>
      <c r="P6" s="11"/>
      <c r="Q6" s="13"/>
    </row>
    <row r="7" spans="2:57" ht="18" x14ac:dyDescent="0.3">
      <c r="B7" s="10"/>
      <c r="C7" s="11"/>
      <c r="D7" s="11"/>
      <c r="E7" s="11"/>
      <c r="F7" s="11"/>
      <c r="G7" s="11"/>
      <c r="H7" s="11"/>
      <c r="I7" s="11"/>
      <c r="J7" s="222">
        <v>3.8</v>
      </c>
      <c r="K7" s="222"/>
      <c r="L7" s="11"/>
      <c r="M7" s="225">
        <v>2.65</v>
      </c>
      <c r="N7" s="225"/>
      <c r="O7" s="11"/>
      <c r="P7" s="11"/>
      <c r="Q7" s="13"/>
      <c r="AK7" s="219" t="s">
        <v>39</v>
      </c>
      <c r="AL7" s="219"/>
      <c r="AM7" s="219"/>
    </row>
    <row r="8" spans="2:57" x14ac:dyDescent="0.3">
      <c r="B8" s="10"/>
      <c r="D8" s="11"/>
      <c r="E8" s="11"/>
      <c r="F8" s="11"/>
      <c r="G8" s="11"/>
      <c r="H8" s="11"/>
      <c r="I8" s="11"/>
      <c r="P8" s="11"/>
      <c r="Q8" s="13"/>
      <c r="AB8" s="196" t="s">
        <v>31</v>
      </c>
      <c r="AC8" s="197"/>
      <c r="AJ8" s="57"/>
      <c r="AK8" s="219" t="s">
        <v>38</v>
      </c>
      <c r="AL8" s="219"/>
      <c r="AM8" s="219"/>
      <c r="BE8" s="60" t="s">
        <v>44</v>
      </c>
    </row>
    <row r="9" spans="2:57" x14ac:dyDescent="0.3">
      <c r="B9" s="10"/>
      <c r="C9" s="43" t="s">
        <v>16</v>
      </c>
      <c r="D9" s="11"/>
      <c r="E9" s="43" t="s">
        <v>15</v>
      </c>
      <c r="F9" s="11"/>
      <c r="G9" s="195" t="s">
        <v>17</v>
      </c>
      <c r="H9" s="195"/>
      <c r="I9" s="11"/>
      <c r="J9" s="195" t="s">
        <v>18</v>
      </c>
      <c r="K9" s="195"/>
      <c r="L9" s="11"/>
      <c r="M9" s="195" t="s">
        <v>18</v>
      </c>
      <c r="N9" s="195"/>
      <c r="O9" s="11"/>
      <c r="P9" s="11"/>
      <c r="Q9" s="13"/>
      <c r="AB9" s="199" t="s">
        <v>32</v>
      </c>
      <c r="AC9" s="200"/>
      <c r="AJ9" s="128">
        <v>1</v>
      </c>
      <c r="AK9" s="129" t="s">
        <v>23</v>
      </c>
      <c r="AL9" s="129" t="s">
        <v>37</v>
      </c>
      <c r="AM9" s="129" t="s">
        <v>24</v>
      </c>
      <c r="AP9" s="129" t="str">
        <f>I29</f>
        <v>MED</v>
      </c>
      <c r="AX9" s="43" t="s">
        <v>43</v>
      </c>
      <c r="AY9" s="43" t="s">
        <v>15</v>
      </c>
      <c r="AZ9" s="43" t="s">
        <v>42</v>
      </c>
      <c r="BA9" s="43" t="s">
        <v>41</v>
      </c>
      <c r="BC9" s="43" t="s">
        <v>40</v>
      </c>
      <c r="BE9" s="43" t="s">
        <v>45</v>
      </c>
    </row>
    <row r="10" spans="2:57" ht="20.25" customHeight="1" x14ac:dyDescent="0.3">
      <c r="B10" s="10"/>
      <c r="C10" s="158">
        <v>2020</v>
      </c>
      <c r="D10" s="11"/>
      <c r="E10" s="159" t="s">
        <v>82</v>
      </c>
      <c r="F10" s="11"/>
      <c r="G10" s="236">
        <v>5000</v>
      </c>
      <c r="H10" s="236"/>
      <c r="I10" s="11"/>
      <c r="J10" s="160">
        <v>7</v>
      </c>
      <c r="K10" s="161">
        <v>9</v>
      </c>
      <c r="L10" s="11"/>
      <c r="M10" s="162">
        <v>7</v>
      </c>
      <c r="N10" s="163">
        <v>9</v>
      </c>
      <c r="O10" s="11"/>
      <c r="P10" s="11"/>
      <c r="Q10" s="13"/>
      <c r="AB10" s="95">
        <f t="shared" ref="AB10:AB15" si="0">(J10*$J$20)+(K10*$K$20)</f>
        <v>8</v>
      </c>
      <c r="AC10" s="96">
        <f t="shared" ref="AC10:AC15" si="1">(M10*$J$20)+(N10*$K$20)</f>
        <v>8</v>
      </c>
      <c r="AF10" s="52" t="str">
        <f>E10</f>
        <v>VELHO-ECONOM</v>
      </c>
      <c r="AG10" s="50" t="s">
        <v>34</v>
      </c>
      <c r="AI10" s="230" t="s">
        <v>35</v>
      </c>
      <c r="AJ10" s="130">
        <v>2</v>
      </c>
      <c r="AK10" s="131">
        <f>AB$20/$AS10+($AJ10/1000000)</f>
        <v>100.00000199999999</v>
      </c>
      <c r="AL10" s="131">
        <f t="shared" ref="AL10:AM21" si="2">AC$20/$AS10+($AJ10/1000000)</f>
        <v>300.00000199999999</v>
      </c>
      <c r="AM10" s="131">
        <f t="shared" si="2"/>
        <v>500.00000199999999</v>
      </c>
      <c r="AP10" s="132">
        <f>HLOOKUP($AP$9,$AK$9:$AM$21,AJ10,FALSE)</f>
        <v>300.00000199999999</v>
      </c>
      <c r="AQ10" s="54" t="str">
        <f t="shared" ref="AQ10:AQ21" si="3">CONCATENATE(AF10," - ",AG10)</f>
        <v>VELHO-ECONOM - GAS</v>
      </c>
      <c r="AR10" s="55">
        <f t="shared" ref="AR10:AR15" si="4">G10</f>
        <v>5000</v>
      </c>
      <c r="AS10" s="95">
        <f t="shared" ref="AS10:AS15" si="5">AB10</f>
        <v>8</v>
      </c>
      <c r="AT10" s="133">
        <f t="shared" ref="AT10:AT15" si="6">$J$7</f>
        <v>3.8</v>
      </c>
      <c r="AW10" s="58">
        <v>1</v>
      </c>
      <c r="AX10" s="134">
        <f>SMALL($AP$10:$AP$21,AW10)</f>
        <v>192.00000600000001</v>
      </c>
      <c r="AY10" s="59" t="str">
        <f>VLOOKUP(AX10,$AP$10:$AQ$21,2,FALSE)</f>
        <v>NOVO-ECONOMI - GAS</v>
      </c>
      <c r="AZ10" s="55">
        <f>VLOOKUP(AX10,$AP$10:$AS$21,3,FALSE)</f>
        <v>32000</v>
      </c>
      <c r="BA10" s="95">
        <f>VLOOKUP(AX10,$AP$10:$AS$21,4,FALSE)</f>
        <v>12.5</v>
      </c>
      <c r="BC10" s="55">
        <f>VLOOKUP(AX10,$AP$10:$AT$21,5,FALSE)</f>
        <v>3.8</v>
      </c>
      <c r="BE10" s="55">
        <f>BC10*AX10</f>
        <v>729.60002280000003</v>
      </c>
    </row>
    <row r="11" spans="2:57" ht="20.25" customHeight="1" x14ac:dyDescent="0.3">
      <c r="B11" s="10"/>
      <c r="C11" s="158">
        <v>2010</v>
      </c>
      <c r="D11" s="11"/>
      <c r="E11" s="159" t="s">
        <v>77</v>
      </c>
      <c r="F11" s="11"/>
      <c r="G11" s="236">
        <v>7000</v>
      </c>
      <c r="H11" s="236"/>
      <c r="I11" s="11"/>
      <c r="J11" s="160">
        <v>4</v>
      </c>
      <c r="K11" s="161">
        <v>5</v>
      </c>
      <c r="L11" s="11"/>
      <c r="M11" s="162">
        <v>4</v>
      </c>
      <c r="N11" s="163">
        <v>5</v>
      </c>
      <c r="O11" s="11"/>
      <c r="P11" s="11"/>
      <c r="Q11" s="13"/>
      <c r="AB11" s="95">
        <f t="shared" si="0"/>
        <v>4.5</v>
      </c>
      <c r="AC11" s="96">
        <f t="shared" si="1"/>
        <v>4.5</v>
      </c>
      <c r="AF11" s="52" t="str">
        <f t="shared" ref="AF11:AF15" si="7">E11</f>
        <v>VELHO-GASTÃO</v>
      </c>
      <c r="AG11" s="50" t="s">
        <v>34</v>
      </c>
      <c r="AI11" s="230"/>
      <c r="AJ11" s="130">
        <v>3</v>
      </c>
      <c r="AK11" s="131">
        <f t="shared" ref="AK11:AK21" si="8">AB$20/$AS11+($AJ11/1000000)</f>
        <v>177.77778077777776</v>
      </c>
      <c r="AL11" s="131">
        <f t="shared" si="2"/>
        <v>533.33333633333336</v>
      </c>
      <c r="AM11" s="131">
        <f t="shared" si="2"/>
        <v>888.88889188888891</v>
      </c>
      <c r="AP11" s="132">
        <f t="shared" ref="AP11:AP21" si="9">HLOOKUP($AP$9,$AK$9:$AM$21,AJ11,FALSE)</f>
        <v>533.33333633333336</v>
      </c>
      <c r="AQ11" s="54" t="str">
        <f t="shared" si="3"/>
        <v>VELHO-GASTÃO - GAS</v>
      </c>
      <c r="AR11" s="55">
        <f t="shared" si="4"/>
        <v>7000</v>
      </c>
      <c r="AS11" s="95">
        <f t="shared" si="5"/>
        <v>4.5</v>
      </c>
      <c r="AT11" s="133">
        <f t="shared" si="6"/>
        <v>3.8</v>
      </c>
      <c r="AW11" s="58">
        <v>2</v>
      </c>
      <c r="AX11" s="134">
        <f t="shared" ref="AX11:AX21" si="10">SMALL($AP$10:$AP$21,AW11)</f>
        <v>240.000012</v>
      </c>
      <c r="AY11" s="59" t="str">
        <f t="shared" ref="AY11:AY21" si="11">VLOOKUP(AX11,$AP$10:$AQ$21,2,FALSE)</f>
        <v>NOVO-ECONOMI - ETAN</v>
      </c>
      <c r="AZ11" s="55">
        <f t="shared" ref="AZ11:AZ21" si="12">VLOOKUP(AX11,$AP$10:$AS$21,3,FALSE)</f>
        <v>32000</v>
      </c>
      <c r="BA11" s="95">
        <f t="shared" ref="BA11:BA21" si="13">VLOOKUP(AX11,$AP$10:$AS$21,4,FALSE)</f>
        <v>10</v>
      </c>
      <c r="BC11" s="55">
        <f t="shared" ref="BC11:BC21" si="14">VLOOKUP(AX11,$AP$10:$AT$21,5,FALSE)</f>
        <v>2.65</v>
      </c>
      <c r="BE11" s="55">
        <f t="shared" ref="BE11:BE21" si="15">BC11*AX11</f>
        <v>636.00003179999999</v>
      </c>
    </row>
    <row r="12" spans="2:57" ht="20.25" customHeight="1" x14ac:dyDescent="0.3">
      <c r="B12" s="10"/>
      <c r="C12" s="158">
        <v>2012</v>
      </c>
      <c r="D12" s="11"/>
      <c r="E12" s="159" t="s">
        <v>78</v>
      </c>
      <c r="F12" s="11"/>
      <c r="G12" s="236">
        <v>13000</v>
      </c>
      <c r="H12" s="236"/>
      <c r="I12" s="11"/>
      <c r="J12" s="160">
        <v>7</v>
      </c>
      <c r="K12" s="161">
        <v>8</v>
      </c>
      <c r="L12" s="11"/>
      <c r="M12" s="162">
        <v>5</v>
      </c>
      <c r="N12" s="163">
        <v>6</v>
      </c>
      <c r="O12" s="11"/>
      <c r="P12" s="11"/>
      <c r="Q12" s="13"/>
      <c r="AB12" s="95">
        <f t="shared" si="0"/>
        <v>7.5</v>
      </c>
      <c r="AC12" s="96">
        <f t="shared" si="1"/>
        <v>5.5</v>
      </c>
      <c r="AF12" s="52" t="str">
        <f t="shared" si="7"/>
        <v>SEMI-ECONOM</v>
      </c>
      <c r="AG12" s="50" t="s">
        <v>34</v>
      </c>
      <c r="AI12" s="230"/>
      <c r="AJ12" s="130">
        <v>4</v>
      </c>
      <c r="AK12" s="131">
        <f t="shared" si="8"/>
        <v>106.66667066666668</v>
      </c>
      <c r="AL12" s="131">
        <f t="shared" si="2"/>
        <v>320.00000399999999</v>
      </c>
      <c r="AM12" s="131">
        <f t="shared" si="2"/>
        <v>533.33333733333336</v>
      </c>
      <c r="AP12" s="132">
        <f t="shared" si="9"/>
        <v>320.00000399999999</v>
      </c>
      <c r="AQ12" s="54" t="str">
        <f t="shared" si="3"/>
        <v>SEMI-ECONOM - GAS</v>
      </c>
      <c r="AR12" s="55">
        <f t="shared" si="4"/>
        <v>13000</v>
      </c>
      <c r="AS12" s="95">
        <f t="shared" si="5"/>
        <v>7.5</v>
      </c>
      <c r="AT12" s="133">
        <f t="shared" si="6"/>
        <v>3.8</v>
      </c>
      <c r="AW12" s="58">
        <v>3</v>
      </c>
      <c r="AX12" s="134">
        <f t="shared" si="10"/>
        <v>266.66667166666667</v>
      </c>
      <c r="AY12" s="59" t="str">
        <f t="shared" si="11"/>
        <v>SEMI-GASTÃO - GAS</v>
      </c>
      <c r="AZ12" s="55">
        <f t="shared" si="12"/>
        <v>14000</v>
      </c>
      <c r="BA12" s="95">
        <f t="shared" si="13"/>
        <v>9</v>
      </c>
      <c r="BC12" s="55">
        <f t="shared" si="14"/>
        <v>3.8</v>
      </c>
      <c r="BE12" s="55">
        <f t="shared" si="15"/>
        <v>1013.3333523333333</v>
      </c>
    </row>
    <row r="13" spans="2:57" ht="20.25" customHeight="1" x14ac:dyDescent="0.3">
      <c r="B13" s="10"/>
      <c r="C13" s="158">
        <v>2012</v>
      </c>
      <c r="D13" s="11"/>
      <c r="E13" s="159" t="s">
        <v>79</v>
      </c>
      <c r="F13" s="11"/>
      <c r="G13" s="236">
        <v>14000</v>
      </c>
      <c r="H13" s="236"/>
      <c r="I13" s="11"/>
      <c r="J13" s="160">
        <v>8</v>
      </c>
      <c r="K13" s="161">
        <v>10</v>
      </c>
      <c r="L13" s="11"/>
      <c r="M13" s="162">
        <v>6</v>
      </c>
      <c r="N13" s="163">
        <v>8</v>
      </c>
      <c r="O13" s="11"/>
      <c r="P13" s="11"/>
      <c r="Q13" s="13"/>
      <c r="AB13" s="95">
        <f t="shared" si="0"/>
        <v>9</v>
      </c>
      <c r="AC13" s="96">
        <f t="shared" si="1"/>
        <v>7</v>
      </c>
      <c r="AF13" s="52" t="str">
        <f t="shared" si="7"/>
        <v>SEMI-GASTÃO</v>
      </c>
      <c r="AG13" s="50" t="s">
        <v>34</v>
      </c>
      <c r="AI13" s="230"/>
      <c r="AJ13" s="130">
        <v>5</v>
      </c>
      <c r="AK13" s="131">
        <f t="shared" si="8"/>
        <v>88.888893888888887</v>
      </c>
      <c r="AL13" s="131">
        <f t="shared" si="2"/>
        <v>266.66667166666667</v>
      </c>
      <c r="AM13" s="131">
        <f t="shared" si="2"/>
        <v>444.44444944444444</v>
      </c>
      <c r="AP13" s="132">
        <f t="shared" si="9"/>
        <v>266.66667166666667</v>
      </c>
      <c r="AQ13" s="54" t="str">
        <f t="shared" si="3"/>
        <v>SEMI-GASTÃO - GAS</v>
      </c>
      <c r="AR13" s="55">
        <f t="shared" si="4"/>
        <v>14000</v>
      </c>
      <c r="AS13" s="95">
        <f t="shared" si="5"/>
        <v>9</v>
      </c>
      <c r="AT13" s="133">
        <f t="shared" si="6"/>
        <v>3.8</v>
      </c>
      <c r="AW13" s="58">
        <v>4</v>
      </c>
      <c r="AX13" s="134">
        <f t="shared" si="10"/>
        <v>300.00000199999999</v>
      </c>
      <c r="AY13" s="59" t="str">
        <f t="shared" si="11"/>
        <v>VELHO-ECONOM - GAS</v>
      </c>
      <c r="AZ13" s="55">
        <f t="shared" si="12"/>
        <v>5000</v>
      </c>
      <c r="BA13" s="95">
        <f t="shared" si="13"/>
        <v>8</v>
      </c>
      <c r="BC13" s="55">
        <f t="shared" si="14"/>
        <v>3.8</v>
      </c>
      <c r="BE13" s="55">
        <f t="shared" si="15"/>
        <v>1140.0000075999999</v>
      </c>
    </row>
    <row r="14" spans="2:57" ht="20.25" customHeight="1" x14ac:dyDescent="0.3">
      <c r="B14" s="10"/>
      <c r="C14" s="158">
        <v>2012</v>
      </c>
      <c r="D14" s="11"/>
      <c r="E14" s="159" t="s">
        <v>80</v>
      </c>
      <c r="F14" s="11"/>
      <c r="G14" s="236">
        <v>32000</v>
      </c>
      <c r="H14" s="236"/>
      <c r="I14" s="11"/>
      <c r="J14" s="160">
        <v>11</v>
      </c>
      <c r="K14" s="161">
        <v>14</v>
      </c>
      <c r="L14" s="11"/>
      <c r="M14" s="162">
        <v>9</v>
      </c>
      <c r="N14" s="163">
        <v>11</v>
      </c>
      <c r="O14" s="11"/>
      <c r="P14" s="11"/>
      <c r="Q14" s="13"/>
      <c r="AB14" s="95">
        <f t="shared" si="0"/>
        <v>12.5</v>
      </c>
      <c r="AC14" s="96">
        <f t="shared" si="1"/>
        <v>10</v>
      </c>
      <c r="AF14" s="52" t="str">
        <f t="shared" si="7"/>
        <v>NOVO-ECONOMI</v>
      </c>
      <c r="AG14" s="50" t="s">
        <v>34</v>
      </c>
      <c r="AI14" s="230"/>
      <c r="AJ14" s="130">
        <v>6</v>
      </c>
      <c r="AK14" s="131">
        <f t="shared" si="8"/>
        <v>64.000005999999999</v>
      </c>
      <c r="AL14" s="131">
        <f t="shared" si="2"/>
        <v>192.00000600000001</v>
      </c>
      <c r="AM14" s="131">
        <f t="shared" si="2"/>
        <v>320.00000599999998</v>
      </c>
      <c r="AP14" s="132">
        <f t="shared" si="9"/>
        <v>192.00000600000001</v>
      </c>
      <c r="AQ14" s="54" t="str">
        <f t="shared" si="3"/>
        <v>NOVO-ECONOMI - GAS</v>
      </c>
      <c r="AR14" s="55">
        <f t="shared" si="4"/>
        <v>32000</v>
      </c>
      <c r="AS14" s="95">
        <f t="shared" si="5"/>
        <v>12.5</v>
      </c>
      <c r="AT14" s="133">
        <f t="shared" si="6"/>
        <v>3.8</v>
      </c>
      <c r="AW14" s="58">
        <v>5</v>
      </c>
      <c r="AX14" s="134">
        <f t="shared" si="10"/>
        <v>300.00000799999998</v>
      </c>
      <c r="AY14" s="59" t="str">
        <f t="shared" si="11"/>
        <v>VELHO-ECONOM - ETAN</v>
      </c>
      <c r="AZ14" s="55">
        <f t="shared" si="12"/>
        <v>5000</v>
      </c>
      <c r="BA14" s="95">
        <f t="shared" si="13"/>
        <v>8</v>
      </c>
      <c r="BC14" s="55">
        <f t="shared" si="14"/>
        <v>2.65</v>
      </c>
      <c r="BE14" s="55">
        <f t="shared" si="15"/>
        <v>795.00002119999988</v>
      </c>
    </row>
    <row r="15" spans="2:57" ht="20.25" customHeight="1" x14ac:dyDescent="0.3">
      <c r="B15" s="10"/>
      <c r="C15" s="158">
        <v>2012</v>
      </c>
      <c r="D15" s="11"/>
      <c r="E15" s="159" t="s">
        <v>81</v>
      </c>
      <c r="F15" s="11"/>
      <c r="G15" s="236">
        <v>45000</v>
      </c>
      <c r="H15" s="236"/>
      <c r="I15" s="11"/>
      <c r="J15" s="160">
        <v>5</v>
      </c>
      <c r="K15" s="161">
        <v>6</v>
      </c>
      <c r="L15" s="11"/>
      <c r="M15" s="162">
        <v>6</v>
      </c>
      <c r="N15" s="163">
        <v>7</v>
      </c>
      <c r="O15" s="11"/>
      <c r="P15" s="11"/>
      <c r="Q15" s="13"/>
      <c r="AB15" s="95">
        <f t="shared" si="0"/>
        <v>5.5</v>
      </c>
      <c r="AC15" s="96">
        <f t="shared" si="1"/>
        <v>6.5</v>
      </c>
      <c r="AF15" s="52" t="str">
        <f t="shared" si="7"/>
        <v>NOVO-GASTÃO</v>
      </c>
      <c r="AG15" s="50" t="s">
        <v>34</v>
      </c>
      <c r="AI15" s="230"/>
      <c r="AJ15" s="130">
        <v>7</v>
      </c>
      <c r="AK15" s="131">
        <f t="shared" si="8"/>
        <v>145.45455245454548</v>
      </c>
      <c r="AL15" s="131">
        <f t="shared" si="2"/>
        <v>436.36364336363636</v>
      </c>
      <c r="AM15" s="131">
        <f t="shared" si="2"/>
        <v>727.27273427272723</v>
      </c>
      <c r="AP15" s="132">
        <f t="shared" si="9"/>
        <v>436.36364336363636</v>
      </c>
      <c r="AQ15" s="54" t="str">
        <f t="shared" si="3"/>
        <v>NOVO-GASTÃO - GAS</v>
      </c>
      <c r="AR15" s="55">
        <f t="shared" si="4"/>
        <v>45000</v>
      </c>
      <c r="AS15" s="95">
        <f t="shared" si="5"/>
        <v>5.5</v>
      </c>
      <c r="AT15" s="133">
        <f t="shared" si="6"/>
        <v>3.8</v>
      </c>
      <c r="AW15" s="58">
        <v>6</v>
      </c>
      <c r="AX15" s="134">
        <f t="shared" si="10"/>
        <v>320.00000399999999</v>
      </c>
      <c r="AY15" s="59" t="str">
        <f t="shared" si="11"/>
        <v>SEMI-ECONOM - GAS</v>
      </c>
      <c r="AZ15" s="55">
        <f t="shared" si="12"/>
        <v>13000</v>
      </c>
      <c r="BA15" s="95">
        <f t="shared" si="13"/>
        <v>7.5</v>
      </c>
      <c r="BC15" s="55">
        <f t="shared" si="14"/>
        <v>3.8</v>
      </c>
      <c r="BE15" s="55">
        <f t="shared" si="15"/>
        <v>1216.0000152</v>
      </c>
    </row>
    <row r="16" spans="2:57" ht="15.75" customHeight="1" x14ac:dyDescent="0.3">
      <c r="B16" s="10"/>
      <c r="C16" s="11"/>
      <c r="D16" s="11"/>
      <c r="E16" s="11"/>
      <c r="F16" s="11"/>
      <c r="G16" s="11"/>
      <c r="H16" s="11"/>
      <c r="I16" s="11"/>
      <c r="J16" s="117" t="s">
        <v>21</v>
      </c>
      <c r="K16" s="118" t="s">
        <v>22</v>
      </c>
      <c r="L16" s="49"/>
      <c r="M16" s="119" t="s">
        <v>21</v>
      </c>
      <c r="N16" s="124" t="s">
        <v>22</v>
      </c>
      <c r="O16" s="49"/>
      <c r="P16" s="11"/>
      <c r="Q16" s="13"/>
      <c r="U16" s="92" t="s">
        <v>72</v>
      </c>
      <c r="AB16" s="47" t="s">
        <v>29</v>
      </c>
      <c r="AC16" s="48" t="s">
        <v>30</v>
      </c>
      <c r="AF16" s="52" t="str">
        <f>E10</f>
        <v>VELHO-ECONOM</v>
      </c>
      <c r="AG16" s="51" t="s">
        <v>30</v>
      </c>
      <c r="AI16" s="231" t="s">
        <v>36</v>
      </c>
      <c r="AJ16" s="135">
        <v>8</v>
      </c>
      <c r="AK16" s="131">
        <f t="shared" si="8"/>
        <v>100.00000799999999</v>
      </c>
      <c r="AL16" s="131">
        <f t="shared" si="2"/>
        <v>300.00000799999998</v>
      </c>
      <c r="AM16" s="131">
        <f t="shared" si="2"/>
        <v>500.00000799999998</v>
      </c>
      <c r="AP16" s="132">
        <f t="shared" si="9"/>
        <v>300.00000799999998</v>
      </c>
      <c r="AQ16" s="53" t="str">
        <f t="shared" si="3"/>
        <v>VELHO-ECONOM - ETAN</v>
      </c>
      <c r="AR16" s="56">
        <f t="shared" ref="AR16:AR21" si="16">G10</f>
        <v>5000</v>
      </c>
      <c r="AS16" s="96">
        <f t="shared" ref="AS16:AS21" si="17">AC10</f>
        <v>8</v>
      </c>
      <c r="AT16" s="136">
        <f t="shared" ref="AT16:AT21" si="18">$M$7</f>
        <v>2.65</v>
      </c>
      <c r="AW16" s="58">
        <v>7</v>
      </c>
      <c r="AX16" s="134">
        <f t="shared" si="10"/>
        <v>342.85715385714281</v>
      </c>
      <c r="AY16" s="59" t="str">
        <f t="shared" si="11"/>
        <v>SEMI-GASTÃO - ETAN</v>
      </c>
      <c r="AZ16" s="55">
        <f t="shared" si="12"/>
        <v>14000</v>
      </c>
      <c r="BA16" s="95">
        <f t="shared" si="13"/>
        <v>7</v>
      </c>
      <c r="BC16" s="55">
        <f t="shared" si="14"/>
        <v>2.65</v>
      </c>
      <c r="BE16" s="55">
        <f t="shared" si="15"/>
        <v>908.57145772142837</v>
      </c>
    </row>
    <row r="17" spans="2:57" ht="20.25" customHeight="1" x14ac:dyDescent="0.3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3"/>
      <c r="T17" s="234" t="s">
        <v>73</v>
      </c>
      <c r="U17" s="234"/>
      <c r="V17" s="234"/>
      <c r="W17" s="234"/>
      <c r="X17" s="234"/>
      <c r="Y17" s="234"/>
      <c r="AF17" s="52" t="str">
        <f t="shared" ref="AF17:AF21" si="19">E11</f>
        <v>VELHO-GASTÃO</v>
      </c>
      <c r="AG17" s="51" t="s">
        <v>30</v>
      </c>
      <c r="AI17" s="231"/>
      <c r="AJ17" s="135">
        <v>9</v>
      </c>
      <c r="AK17" s="131">
        <f t="shared" si="8"/>
        <v>177.77778677777778</v>
      </c>
      <c r="AL17" s="131">
        <f t="shared" si="2"/>
        <v>533.33334233333335</v>
      </c>
      <c r="AM17" s="131">
        <f t="shared" si="2"/>
        <v>888.88889788888889</v>
      </c>
      <c r="AP17" s="132">
        <f t="shared" si="9"/>
        <v>533.33334233333335</v>
      </c>
      <c r="AQ17" s="53" t="str">
        <f t="shared" si="3"/>
        <v>VELHO-GASTÃO - ETAN</v>
      </c>
      <c r="AR17" s="56">
        <f t="shared" si="16"/>
        <v>7000</v>
      </c>
      <c r="AS17" s="96">
        <f t="shared" si="17"/>
        <v>4.5</v>
      </c>
      <c r="AT17" s="136">
        <f t="shared" si="18"/>
        <v>2.65</v>
      </c>
      <c r="AW17" s="58">
        <v>8</v>
      </c>
      <c r="AX17" s="134">
        <f t="shared" si="10"/>
        <v>369.23078223076925</v>
      </c>
      <c r="AY17" s="59" t="str">
        <f t="shared" si="11"/>
        <v>NOVO-GASTÃO - ETAN</v>
      </c>
      <c r="AZ17" s="55">
        <f t="shared" si="12"/>
        <v>45000</v>
      </c>
      <c r="BA17" s="95">
        <f t="shared" si="13"/>
        <v>6.5</v>
      </c>
      <c r="BC17" s="55">
        <f t="shared" si="14"/>
        <v>2.65</v>
      </c>
      <c r="BE17" s="55">
        <f t="shared" si="15"/>
        <v>978.4615729115385</v>
      </c>
    </row>
    <row r="18" spans="2:57" ht="20.25" customHeight="1" x14ac:dyDescent="0.3">
      <c r="B18" s="10"/>
      <c r="C18" s="11"/>
      <c r="D18" s="11"/>
      <c r="F18" s="11"/>
      <c r="G18" s="238" t="s">
        <v>68</v>
      </c>
      <c r="H18" s="238"/>
      <c r="I18" s="11"/>
      <c r="J18" s="214" t="s">
        <v>61</v>
      </c>
      <c r="K18" s="214"/>
      <c r="L18" s="11"/>
      <c r="M18" s="11"/>
      <c r="N18" s="11"/>
      <c r="O18" s="11"/>
      <c r="P18" s="11"/>
      <c r="Q18" s="13"/>
      <c r="T18" s="234"/>
      <c r="U18" s="234"/>
      <c r="V18" s="234"/>
      <c r="W18" s="234"/>
      <c r="X18" s="234"/>
      <c r="Y18" s="234"/>
      <c r="AF18" s="52" t="str">
        <f t="shared" si="19"/>
        <v>SEMI-ECONOM</v>
      </c>
      <c r="AG18" s="51" t="s">
        <v>30</v>
      </c>
      <c r="AI18" s="231"/>
      <c r="AJ18" s="135">
        <v>10</v>
      </c>
      <c r="AK18" s="131">
        <f t="shared" si="8"/>
        <v>145.45455545454547</v>
      </c>
      <c r="AL18" s="131">
        <f t="shared" si="2"/>
        <v>436.36364636363635</v>
      </c>
      <c r="AM18" s="131">
        <f t="shared" si="2"/>
        <v>727.27273727272723</v>
      </c>
      <c r="AP18" s="132">
        <f t="shared" si="9"/>
        <v>436.36364636363635</v>
      </c>
      <c r="AQ18" s="53" t="str">
        <f t="shared" si="3"/>
        <v>SEMI-ECONOM - ETAN</v>
      </c>
      <c r="AR18" s="56">
        <f t="shared" si="16"/>
        <v>13000</v>
      </c>
      <c r="AS18" s="96">
        <f t="shared" si="17"/>
        <v>5.5</v>
      </c>
      <c r="AT18" s="136">
        <f t="shared" si="18"/>
        <v>2.65</v>
      </c>
      <c r="AW18" s="58">
        <v>9</v>
      </c>
      <c r="AX18" s="134">
        <f t="shared" si="10"/>
        <v>436.36364336363636</v>
      </c>
      <c r="AY18" s="59" t="str">
        <f t="shared" si="11"/>
        <v>NOVO-GASTÃO - GAS</v>
      </c>
      <c r="AZ18" s="55">
        <f t="shared" si="12"/>
        <v>45000</v>
      </c>
      <c r="BA18" s="95">
        <f t="shared" si="13"/>
        <v>5.5</v>
      </c>
      <c r="BC18" s="55">
        <f t="shared" si="14"/>
        <v>3.8</v>
      </c>
      <c r="BE18" s="55">
        <f t="shared" si="15"/>
        <v>1658.181844781818</v>
      </c>
    </row>
    <row r="19" spans="2:57" ht="20.25" customHeight="1" x14ac:dyDescent="0.3">
      <c r="B19" s="10"/>
      <c r="C19" s="11"/>
      <c r="D19" s="11"/>
      <c r="F19" s="11"/>
      <c r="G19" s="239"/>
      <c r="H19" s="239"/>
      <c r="I19" s="11"/>
      <c r="J19" s="215"/>
      <c r="K19" s="215"/>
      <c r="L19" s="11"/>
      <c r="O19" s="11"/>
      <c r="P19" s="11"/>
      <c r="Q19" s="13"/>
      <c r="T19" s="234"/>
      <c r="U19" s="234"/>
      <c r="V19" s="234"/>
      <c r="W19" s="234"/>
      <c r="X19" s="234"/>
      <c r="Y19" s="234"/>
      <c r="AB19" s="195" t="s">
        <v>25</v>
      </c>
      <c r="AC19" s="195"/>
      <c r="AD19" s="195"/>
      <c r="AF19" s="52" t="str">
        <f t="shared" si="19"/>
        <v>SEMI-GASTÃO</v>
      </c>
      <c r="AG19" s="51" t="s">
        <v>30</v>
      </c>
      <c r="AI19" s="231"/>
      <c r="AJ19" s="135">
        <v>11</v>
      </c>
      <c r="AK19" s="131">
        <f t="shared" si="8"/>
        <v>114.28572528571429</v>
      </c>
      <c r="AL19" s="131">
        <f t="shared" si="2"/>
        <v>342.85715385714281</v>
      </c>
      <c r="AM19" s="131">
        <f t="shared" si="2"/>
        <v>571.42858242857142</v>
      </c>
      <c r="AP19" s="132">
        <f t="shared" si="9"/>
        <v>342.85715385714281</v>
      </c>
      <c r="AQ19" s="53" t="str">
        <f t="shared" si="3"/>
        <v>SEMI-GASTÃO - ETAN</v>
      </c>
      <c r="AR19" s="56">
        <f t="shared" si="16"/>
        <v>14000</v>
      </c>
      <c r="AS19" s="96">
        <f t="shared" si="17"/>
        <v>7</v>
      </c>
      <c r="AT19" s="136">
        <f t="shared" si="18"/>
        <v>2.65</v>
      </c>
      <c r="AW19" s="58">
        <v>10</v>
      </c>
      <c r="AX19" s="134">
        <f t="shared" si="10"/>
        <v>436.36364636363635</v>
      </c>
      <c r="AY19" s="59" t="str">
        <f t="shared" si="11"/>
        <v>SEMI-ECONOM - ETAN</v>
      </c>
      <c r="AZ19" s="55">
        <f t="shared" si="12"/>
        <v>13000</v>
      </c>
      <c r="BA19" s="95">
        <f t="shared" si="13"/>
        <v>5.5</v>
      </c>
      <c r="BC19" s="55">
        <f t="shared" si="14"/>
        <v>2.65</v>
      </c>
      <c r="BE19" s="55">
        <f t="shared" si="15"/>
        <v>1156.3636628636364</v>
      </c>
    </row>
    <row r="20" spans="2:57" ht="20.25" customHeight="1" x14ac:dyDescent="0.3">
      <c r="B20" s="10"/>
      <c r="C20" s="11"/>
      <c r="D20" s="11"/>
      <c r="F20" s="11"/>
      <c r="G20" s="121">
        <v>800</v>
      </c>
      <c r="H20" s="121">
        <v>4000</v>
      </c>
      <c r="I20" s="11"/>
      <c r="J20" s="103">
        <v>0.5</v>
      </c>
      <c r="K20" s="97">
        <f>1-J20</f>
        <v>0.5</v>
      </c>
      <c r="L20" s="11"/>
      <c r="O20" s="11"/>
      <c r="P20" s="11"/>
      <c r="Q20" s="13"/>
      <c r="X20" s="93" t="s">
        <v>74</v>
      </c>
      <c r="AB20" s="44">
        <f>G20</f>
        <v>800</v>
      </c>
      <c r="AC20" s="45">
        <f>AVERAGE(AB20,AD20)</f>
        <v>2400</v>
      </c>
      <c r="AD20" s="44">
        <f>H20</f>
        <v>4000</v>
      </c>
      <c r="AF20" s="52" t="str">
        <f t="shared" si="19"/>
        <v>NOVO-ECONOMI</v>
      </c>
      <c r="AG20" s="51" t="s">
        <v>30</v>
      </c>
      <c r="AI20" s="231"/>
      <c r="AJ20" s="135">
        <v>12</v>
      </c>
      <c r="AK20" s="131">
        <f t="shared" si="8"/>
        <v>80.000011999999998</v>
      </c>
      <c r="AL20" s="131">
        <f t="shared" si="2"/>
        <v>240.000012</v>
      </c>
      <c r="AM20" s="131">
        <f t="shared" si="2"/>
        <v>400.00001200000003</v>
      </c>
      <c r="AP20" s="132">
        <f t="shared" si="9"/>
        <v>240.000012</v>
      </c>
      <c r="AQ20" s="53" t="str">
        <f t="shared" si="3"/>
        <v>NOVO-ECONOMI - ETAN</v>
      </c>
      <c r="AR20" s="56">
        <f t="shared" si="16"/>
        <v>32000</v>
      </c>
      <c r="AS20" s="96">
        <f t="shared" si="17"/>
        <v>10</v>
      </c>
      <c r="AT20" s="136">
        <f t="shared" si="18"/>
        <v>2.65</v>
      </c>
      <c r="AW20" s="58">
        <v>11</v>
      </c>
      <c r="AX20" s="134">
        <f t="shared" si="10"/>
        <v>533.33333633333336</v>
      </c>
      <c r="AY20" s="59" t="str">
        <f t="shared" si="11"/>
        <v>VELHO-GASTÃO - GAS</v>
      </c>
      <c r="AZ20" s="55">
        <f t="shared" si="12"/>
        <v>7000</v>
      </c>
      <c r="BA20" s="95">
        <f t="shared" si="13"/>
        <v>4.5</v>
      </c>
      <c r="BC20" s="55">
        <f t="shared" si="14"/>
        <v>3.8</v>
      </c>
      <c r="BE20" s="55">
        <f t="shared" si="15"/>
        <v>2026.6666780666667</v>
      </c>
    </row>
    <row r="21" spans="2:57" ht="20.25" customHeight="1" x14ac:dyDescent="0.3">
      <c r="B21" s="10"/>
      <c r="C21" s="11"/>
      <c r="D21" s="11"/>
      <c r="E21" s="11"/>
      <c r="F21" s="11"/>
      <c r="G21" s="61" t="s">
        <v>23</v>
      </c>
      <c r="H21" s="61" t="s">
        <v>24</v>
      </c>
      <c r="I21" s="11"/>
      <c r="J21" s="47" t="s">
        <v>21</v>
      </c>
      <c r="K21" s="48" t="s">
        <v>22</v>
      </c>
      <c r="L21" s="49"/>
      <c r="O21" s="49"/>
      <c r="P21" s="11"/>
      <c r="Q21" s="13"/>
      <c r="X21" s="94" t="s">
        <v>75</v>
      </c>
      <c r="AB21" s="115" t="s">
        <v>23</v>
      </c>
      <c r="AC21" s="46" t="s">
        <v>33</v>
      </c>
      <c r="AD21" s="115" t="s">
        <v>24</v>
      </c>
      <c r="AF21" s="52" t="str">
        <f t="shared" si="19"/>
        <v>NOVO-GASTÃO</v>
      </c>
      <c r="AG21" s="51" t="s">
        <v>30</v>
      </c>
      <c r="AI21" s="231"/>
      <c r="AJ21" s="135">
        <v>13</v>
      </c>
      <c r="AK21" s="131">
        <f t="shared" si="8"/>
        <v>123.07693607692308</v>
      </c>
      <c r="AL21" s="131">
        <f t="shared" si="2"/>
        <v>369.23078223076925</v>
      </c>
      <c r="AM21" s="131">
        <f t="shared" si="2"/>
        <v>615.38462838461533</v>
      </c>
      <c r="AP21" s="132">
        <f t="shared" si="9"/>
        <v>369.23078223076925</v>
      </c>
      <c r="AQ21" s="53" t="str">
        <f t="shared" si="3"/>
        <v>NOVO-GASTÃO - ETAN</v>
      </c>
      <c r="AR21" s="56">
        <f t="shared" si="16"/>
        <v>45000</v>
      </c>
      <c r="AS21" s="96">
        <f t="shared" si="17"/>
        <v>6.5</v>
      </c>
      <c r="AT21" s="136">
        <f t="shared" si="18"/>
        <v>2.65</v>
      </c>
      <c r="AW21" s="58">
        <v>12</v>
      </c>
      <c r="AX21" s="134">
        <f t="shared" si="10"/>
        <v>533.33334233333335</v>
      </c>
      <c r="AY21" s="59" t="str">
        <f t="shared" si="11"/>
        <v>VELHO-GASTÃO - ETAN</v>
      </c>
      <c r="AZ21" s="55">
        <f t="shared" si="12"/>
        <v>7000</v>
      </c>
      <c r="BA21" s="95">
        <f t="shared" si="13"/>
        <v>4.5</v>
      </c>
      <c r="BC21" s="55">
        <f t="shared" si="14"/>
        <v>2.65</v>
      </c>
      <c r="BE21" s="55">
        <f t="shared" si="15"/>
        <v>1413.3333571833334</v>
      </c>
    </row>
    <row r="22" spans="2:57" ht="20.25" customHeight="1" x14ac:dyDescent="0.3">
      <c r="B22" s="10"/>
      <c r="C22" s="11"/>
      <c r="D22" s="11"/>
      <c r="E22" s="11"/>
      <c r="F22" s="11"/>
      <c r="G22" s="122" t="s">
        <v>33</v>
      </c>
      <c r="H22" s="123">
        <f>AC20</f>
        <v>2400</v>
      </c>
      <c r="I22" s="11"/>
      <c r="L22" s="49"/>
      <c r="O22" s="49"/>
      <c r="P22" s="11"/>
      <c r="Q22" s="13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</row>
    <row r="23" spans="2:57" x14ac:dyDescent="0.3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3"/>
    </row>
    <row r="24" spans="2:57" ht="15" thickBot="1" x14ac:dyDescent="0.35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</row>
    <row r="25" spans="2:57" x14ac:dyDescent="0.3">
      <c r="C25" s="185" t="s">
        <v>111</v>
      </c>
      <c r="AB25" s="6" t="s">
        <v>54</v>
      </c>
    </row>
    <row r="26" spans="2:57" ht="17.25" customHeight="1" thickBot="1" x14ac:dyDescent="0.35">
      <c r="AB26" s="6" t="s">
        <v>113</v>
      </c>
      <c r="AI26" s="20"/>
      <c r="AJ26" s="20"/>
    </row>
    <row r="27" spans="2:57" ht="17.25" customHeight="1" x14ac:dyDescent="0.3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/>
      <c r="AI27" s="20"/>
      <c r="AJ27" s="20"/>
    </row>
    <row r="28" spans="2:57" ht="7.5" customHeight="1" thickBot="1" x14ac:dyDescent="0.35">
      <c r="B28" s="10"/>
      <c r="C28" s="11"/>
      <c r="D28" s="11"/>
      <c r="E28" s="137"/>
      <c r="F28" s="11"/>
      <c r="G28" s="11"/>
      <c r="H28" s="11"/>
      <c r="I28" s="11"/>
      <c r="J28" s="11"/>
      <c r="K28" s="11"/>
      <c r="L28" s="11"/>
      <c r="M28" s="138"/>
      <c r="N28" s="139"/>
      <c r="O28" s="11"/>
      <c r="P28" s="11"/>
      <c r="Q28" s="13"/>
      <c r="AI28" s="20"/>
      <c r="AJ28" s="20"/>
    </row>
    <row r="29" spans="2:57" s="20" customFormat="1" ht="17.25" customHeight="1" x14ac:dyDescent="0.3">
      <c r="B29" s="10"/>
      <c r="C29" s="11"/>
      <c r="D29" s="11"/>
      <c r="E29" s="140" t="s">
        <v>46</v>
      </c>
      <c r="F29" s="11"/>
      <c r="G29" s="240" t="s">
        <v>53</v>
      </c>
      <c r="H29" s="241"/>
      <c r="I29" s="243" t="s">
        <v>37</v>
      </c>
      <c r="J29" s="244"/>
      <c r="K29" s="11"/>
      <c r="L29" s="11"/>
      <c r="M29" s="232" t="s">
        <v>46</v>
      </c>
      <c r="N29" s="233"/>
      <c r="O29" s="11"/>
      <c r="P29" s="11"/>
      <c r="Q29" s="13"/>
      <c r="R29" s="11"/>
      <c r="AB29" s="20" t="s">
        <v>52</v>
      </c>
      <c r="AI29" s="6"/>
      <c r="AJ29" s="6"/>
    </row>
    <row r="30" spans="2:57" ht="17.25" customHeight="1" thickBot="1" x14ac:dyDescent="0.35">
      <c r="B30" s="10"/>
      <c r="C30" s="11"/>
      <c r="D30" s="11"/>
      <c r="E30" s="140" t="s">
        <v>47</v>
      </c>
      <c r="F30" s="11"/>
      <c r="G30" s="240"/>
      <c r="H30" s="241"/>
      <c r="I30" s="245"/>
      <c r="J30" s="246"/>
      <c r="K30" s="11"/>
      <c r="L30" s="11"/>
      <c r="M30" s="232" t="s">
        <v>48</v>
      </c>
      <c r="N30" s="233"/>
      <c r="O30" s="11"/>
      <c r="P30" s="11"/>
      <c r="Q30" s="13"/>
      <c r="AB30" s="6" t="s">
        <v>112</v>
      </c>
    </row>
    <row r="31" spans="2:57" ht="8.25" customHeight="1" x14ac:dyDescent="0.3">
      <c r="B31" s="10"/>
      <c r="C31" s="11"/>
      <c r="D31" s="11"/>
      <c r="E31" s="141"/>
      <c r="F31" s="11"/>
      <c r="G31" s="11"/>
      <c r="H31" s="11"/>
      <c r="I31" s="11"/>
      <c r="J31" s="11"/>
      <c r="K31" s="11"/>
      <c r="L31" s="11"/>
      <c r="M31" s="142"/>
      <c r="N31" s="143"/>
      <c r="O31" s="11"/>
      <c r="P31" s="11"/>
      <c r="Q31" s="13"/>
    </row>
    <row r="32" spans="2:57" ht="35.25" customHeight="1" x14ac:dyDescent="0.3">
      <c r="B32" s="10"/>
      <c r="C32" s="11"/>
      <c r="D32" s="11"/>
      <c r="E32" s="187" t="s">
        <v>77</v>
      </c>
      <c r="F32" s="11"/>
      <c r="G32" s="242" t="str">
        <f>IF(M33&gt;E33,AB25,AB26)</f>
        <v>INVESTIMENTO NA TROCA DO VEICULO</v>
      </c>
      <c r="H32" s="242"/>
      <c r="I32" s="242"/>
      <c r="J32" s="242"/>
      <c r="K32" s="242"/>
      <c r="L32" s="11"/>
      <c r="M32" s="226" t="s">
        <v>81</v>
      </c>
      <c r="N32" s="227"/>
      <c r="O32" s="11"/>
      <c r="P32" s="11"/>
      <c r="Q32" s="13"/>
      <c r="AB32" s="57" t="s">
        <v>33</v>
      </c>
      <c r="AC32" s="57" t="s">
        <v>33</v>
      </c>
    </row>
    <row r="33" spans="2:52" ht="27" customHeight="1" x14ac:dyDescent="0.3">
      <c r="B33" s="10"/>
      <c r="C33" s="11"/>
      <c r="D33" s="11"/>
      <c r="E33" s="144">
        <f>VLOOKUP(E32,$E$10:$G$15,3,FALSE)</f>
        <v>7000</v>
      </c>
      <c r="F33" s="11"/>
      <c r="G33" s="235">
        <f>M33-E33</f>
        <v>38000</v>
      </c>
      <c r="H33" s="235"/>
      <c r="I33" s="235"/>
      <c r="J33" s="235"/>
      <c r="K33" s="235"/>
      <c r="L33" s="11"/>
      <c r="M33" s="228">
        <f>VLOOKUP(M32,$E$10:$G$15,3,FALSE)</f>
        <v>45000</v>
      </c>
      <c r="N33" s="229"/>
      <c r="O33" s="11"/>
      <c r="P33" s="11"/>
      <c r="Q33" s="13"/>
      <c r="AB33" s="126">
        <f>AVERAGE(E40,E43)</f>
        <v>1720.0000176250001</v>
      </c>
      <c r="AC33" s="126">
        <f>AVERAGE(M40,M43)</f>
        <v>1318.3217088466781</v>
      </c>
      <c r="AX33" s="52" t="str">
        <f t="shared" ref="AX33:AX38" si="20">E10</f>
        <v>VELHO-ECONOM</v>
      </c>
      <c r="AY33" s="54" t="str">
        <f t="shared" ref="AY33:AY38" si="21">AQ10</f>
        <v>VELHO-ECONOM - GAS</v>
      </c>
      <c r="AZ33" s="53" t="str">
        <f t="shared" ref="AZ33:AZ38" si="22">AQ16</f>
        <v>VELHO-ECONOM - ETAN</v>
      </c>
    </row>
    <row r="34" spans="2:52" ht="17.25" customHeight="1" x14ac:dyDescent="0.3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3"/>
      <c r="AB34" s="6">
        <f>ROUND(G33/ABS(J36),2)</f>
        <v>7.88</v>
      </c>
      <c r="AX34" s="52" t="str">
        <f t="shared" si="20"/>
        <v>VELHO-GASTÃO</v>
      </c>
      <c r="AY34" s="54" t="str">
        <f t="shared" si="21"/>
        <v>VELHO-GASTÃO - GAS</v>
      </c>
      <c r="AZ34" s="53" t="str">
        <f t="shared" si="22"/>
        <v>VELHO-GASTÃO - ETAN</v>
      </c>
    </row>
    <row r="35" spans="2:52" ht="17.25" customHeight="1" x14ac:dyDescent="0.3">
      <c r="B35" s="10"/>
      <c r="C35" s="11"/>
      <c r="D35" s="11"/>
      <c r="E35" s="145" t="s">
        <v>84</v>
      </c>
      <c r="F35" s="11"/>
      <c r="G35" s="237" t="str">
        <f>IF(M40&lt;E40,AB29,AB30)</f>
        <v>ECONOMIA ANUAL DE COMBUSTIVEL</v>
      </c>
      <c r="H35" s="237"/>
      <c r="I35" s="237"/>
      <c r="J35" s="237"/>
      <c r="K35" s="237"/>
      <c r="L35" s="11"/>
      <c r="M35" s="196" t="s">
        <v>86</v>
      </c>
      <c r="N35" s="197"/>
      <c r="O35" s="11"/>
      <c r="P35" s="11"/>
      <c r="Q35" s="13"/>
      <c r="AB35" s="6">
        <f>ROUND(G33/ABS(H38),2)</f>
        <v>3.02</v>
      </c>
      <c r="AX35" s="52" t="str">
        <f t="shared" si="20"/>
        <v>SEMI-ECONOM</v>
      </c>
      <c r="AY35" s="54" t="str">
        <f t="shared" si="21"/>
        <v>SEMI-ECONOM - GAS</v>
      </c>
      <c r="AZ35" s="53" t="str">
        <f t="shared" si="22"/>
        <v>SEMI-ECONOM - ETAN</v>
      </c>
    </row>
    <row r="36" spans="2:52" ht="17.25" customHeight="1" x14ac:dyDescent="0.35">
      <c r="B36" s="10"/>
      <c r="C36" s="11"/>
      <c r="D36" s="11"/>
      <c r="E36" s="146" t="s">
        <v>49</v>
      </c>
      <c r="F36" s="11"/>
      <c r="G36" s="247" t="s">
        <v>85</v>
      </c>
      <c r="H36" s="247"/>
      <c r="I36" s="127"/>
      <c r="J36" s="248">
        <f>ABS((AB33-AC33)*12)</f>
        <v>4820.1397053398632</v>
      </c>
      <c r="K36" s="249"/>
      <c r="L36" s="11"/>
      <c r="M36" s="261" t="s">
        <v>87</v>
      </c>
      <c r="N36" s="189"/>
      <c r="O36" s="11"/>
      <c r="Q36" s="13"/>
      <c r="AB36" s="6">
        <f>ROUND(G33/ABS(K38),2)</f>
        <v>12.93</v>
      </c>
      <c r="AX36" s="52" t="str">
        <f t="shared" si="20"/>
        <v>SEMI-GASTÃO</v>
      </c>
      <c r="AY36" s="54" t="str">
        <f t="shared" si="21"/>
        <v>SEMI-GASTÃO - GAS</v>
      </c>
      <c r="AZ36" s="53" t="str">
        <f t="shared" si="22"/>
        <v>SEMI-GASTÃO - ETAN</v>
      </c>
    </row>
    <row r="37" spans="2:52" ht="24" customHeight="1" x14ac:dyDescent="0.3">
      <c r="B37" s="10"/>
      <c r="C37" s="11"/>
      <c r="D37" s="11"/>
      <c r="E37" s="186" t="s">
        <v>83</v>
      </c>
      <c r="F37" s="11"/>
      <c r="L37" s="11"/>
      <c r="M37" s="262" t="s">
        <v>88</v>
      </c>
      <c r="N37" s="263"/>
      <c r="O37" s="11"/>
      <c r="P37" s="11"/>
      <c r="Q37" s="13"/>
      <c r="AX37" s="52" t="str">
        <f t="shared" si="20"/>
        <v>NOVO-ECONOMI</v>
      </c>
      <c r="AY37" s="54" t="str">
        <f t="shared" si="21"/>
        <v>NOVO-ECONOMI - GAS</v>
      </c>
      <c r="AZ37" s="53" t="str">
        <f t="shared" si="22"/>
        <v>NOVO-ECONOMI - ETAN</v>
      </c>
    </row>
    <row r="38" spans="2:52" ht="17.25" customHeight="1" x14ac:dyDescent="0.3">
      <c r="B38" s="10"/>
      <c r="C38" s="11"/>
      <c r="D38" s="11"/>
      <c r="E38" s="11"/>
      <c r="F38" s="11"/>
      <c r="G38" s="125" t="str">
        <f>IF(H38&gt;K38,"MAX","MIN")</f>
        <v>MAX</v>
      </c>
      <c r="H38" s="147">
        <f>ABS((AC40-AB42)*12)</f>
        <v>12578.461261861539</v>
      </c>
      <c r="J38" s="166" t="str">
        <f>IF(K38&lt;H38,"MIN","MAX")</f>
        <v>MIN</v>
      </c>
      <c r="K38" s="167">
        <f>ABS((AC42-AB40)*12)</f>
        <v>2938.1818511818146</v>
      </c>
      <c r="L38" s="11"/>
      <c r="M38" s="11"/>
      <c r="N38" s="11"/>
      <c r="O38" s="11"/>
      <c r="P38" s="11"/>
      <c r="Q38" s="13"/>
      <c r="AX38" s="52" t="str">
        <f t="shared" si="20"/>
        <v>NOVO-GASTÃO</v>
      </c>
      <c r="AY38" s="54" t="str">
        <f t="shared" si="21"/>
        <v>NOVO-GASTÃO - GAS</v>
      </c>
      <c r="AZ38" s="53" t="str">
        <f t="shared" si="22"/>
        <v>NOVO-GASTÃO - ETAN</v>
      </c>
    </row>
    <row r="39" spans="2:52" ht="17.25" customHeight="1" x14ac:dyDescent="0.3">
      <c r="B39" s="10"/>
      <c r="C39" s="148" t="s">
        <v>55</v>
      </c>
      <c r="D39" s="11"/>
      <c r="E39" s="149" t="str">
        <f>VLOOKUP(E32,$AX$33:$AZ$38,2,FALSE)</f>
        <v>VELHO-GASTÃO - GAS</v>
      </c>
      <c r="F39" s="11"/>
      <c r="L39" s="11"/>
      <c r="M39" s="257" t="str">
        <f>VLOOKUP(M32,$AX$33:$AZ$38,2,FALSE)</f>
        <v>NOVO-GASTÃO - GAS</v>
      </c>
      <c r="N39" s="258"/>
      <c r="O39" s="11"/>
      <c r="P39" s="150" t="s">
        <v>55</v>
      </c>
      <c r="Q39" s="13"/>
      <c r="AB39" s="115" t="s">
        <v>50</v>
      </c>
      <c r="AC39" s="115" t="s">
        <v>50</v>
      </c>
    </row>
    <row r="40" spans="2:52" ht="17.25" customHeight="1" x14ac:dyDescent="0.3">
      <c r="B40" s="10"/>
      <c r="C40" s="151">
        <f>VLOOKUP(E39,$AY$10:$BE$21,3,FALSE)</f>
        <v>4.5</v>
      </c>
      <c r="D40" s="11"/>
      <c r="E40" s="152">
        <f>VLOOKUP(E39,$AY$10:$BE$21,7,FALSE)</f>
        <v>2026.6666780666667</v>
      </c>
      <c r="F40" s="11"/>
      <c r="G40" s="265" t="str">
        <f>IF(AND(M33&gt;E33,M40&gt;E40),"PREJUIZO CERTO",IF(AND(M33&lt;E33,M40&lt;E40),"LUCRO CERTO",IF(AND(M33&gt;E33,M40&lt;E40),AC47,AC51)))</f>
        <v>PAYBACK MIN = 3,02 ANOS</v>
      </c>
      <c r="H40" s="265"/>
      <c r="I40" s="265"/>
      <c r="J40" s="265"/>
      <c r="K40" s="265"/>
      <c r="L40" s="11"/>
      <c r="M40" s="259">
        <f>VLOOKUP(M39,$AY$10:$BE$21,7,FALSE)</f>
        <v>1658.181844781818</v>
      </c>
      <c r="N40" s="260"/>
      <c r="O40" s="11"/>
      <c r="P40" s="151">
        <f>VLOOKUP(M39,$AY$10:$BE$21,3,FALSE)</f>
        <v>5.5</v>
      </c>
      <c r="Q40" s="13"/>
      <c r="AB40" s="62">
        <f>MIN(E40,E43)</f>
        <v>1413.3333571833334</v>
      </c>
      <c r="AC40" s="62">
        <f>MIN(M40,M43)</f>
        <v>978.4615729115385</v>
      </c>
    </row>
    <row r="41" spans="2:52" ht="9.75" customHeight="1" x14ac:dyDescent="0.3">
      <c r="B41" s="10"/>
      <c r="C41" s="11"/>
      <c r="D41" s="11"/>
      <c r="E41" s="11"/>
      <c r="F41" s="11"/>
      <c r="G41" s="265"/>
      <c r="H41" s="265"/>
      <c r="I41" s="265"/>
      <c r="J41" s="265"/>
      <c r="K41" s="265"/>
      <c r="L41" s="11"/>
      <c r="M41" s="11"/>
      <c r="N41" s="11"/>
      <c r="O41" s="11"/>
      <c r="P41" s="11"/>
      <c r="Q41" s="13"/>
      <c r="AB41" s="115"/>
      <c r="AC41" s="115"/>
    </row>
    <row r="42" spans="2:52" ht="17.25" customHeight="1" x14ac:dyDescent="0.3">
      <c r="B42" s="10"/>
      <c r="C42" s="153" t="s">
        <v>55</v>
      </c>
      <c r="D42" s="11"/>
      <c r="E42" s="154" t="str">
        <f>VLOOKUP(E32,$AX$33:$AZ$38,3,FALSE)</f>
        <v>VELHO-GASTÃO - ETAN</v>
      </c>
      <c r="F42" s="11"/>
      <c r="G42" s="252" t="str">
        <f>IF(AND(M33&gt;E33,M40&gt;E40),"PREJUIZO CERTO",IF(AND(M33&lt;E33,M40&lt;E40),"LUCRO CERTO",IF(AND(M33&gt;E33,M40&lt;E40),AC48,AC52)))</f>
        <v>PAYBACK MÉDIO = 7,88 ANOS</v>
      </c>
      <c r="H42" s="252"/>
      <c r="I42" s="252"/>
      <c r="J42" s="252"/>
      <c r="K42" s="252"/>
      <c r="L42" s="11"/>
      <c r="M42" s="253" t="str">
        <f>VLOOKUP(M32,$AX$33:$AZ$38,3,FALSE)</f>
        <v>NOVO-GASTÃO - ETAN</v>
      </c>
      <c r="N42" s="254"/>
      <c r="O42" s="11"/>
      <c r="P42" s="155" t="s">
        <v>55</v>
      </c>
      <c r="Q42" s="13"/>
      <c r="AB42" s="62">
        <f>MAX(E40,E43)</f>
        <v>2026.6666780666667</v>
      </c>
      <c r="AC42" s="62">
        <f>MAX(M43,M40)</f>
        <v>1658.181844781818</v>
      </c>
    </row>
    <row r="43" spans="2:52" ht="17.25" customHeight="1" x14ac:dyDescent="0.3">
      <c r="B43" s="10"/>
      <c r="C43" s="156">
        <f>VLOOKUP(E42,$AY$10:$BE$21,3,FALSE)</f>
        <v>4.5</v>
      </c>
      <c r="D43" s="11"/>
      <c r="E43" s="157">
        <f>VLOOKUP(E42,$AY$10:$BE$21,7,FALSE)</f>
        <v>1413.3333571833334</v>
      </c>
      <c r="F43" s="11"/>
      <c r="G43" s="251" t="str">
        <f>IF(AND(M33&gt;E33,M40&gt;E40),"PREJUIZO CERTO",IF(AND(M33&lt;E33,M40&lt;E40),"LUCRO CERTO",IF(AND(M33&gt;E33,M40&lt;E40),AC49,AC53)))</f>
        <v>PAYBACK MAX = 12,93 ANOS</v>
      </c>
      <c r="H43" s="251"/>
      <c r="I43" s="251"/>
      <c r="J43" s="251"/>
      <c r="K43" s="251"/>
      <c r="L43" s="11"/>
      <c r="M43" s="255">
        <f>VLOOKUP(M42,$AY$10:$BE$21,7,FALSE)</f>
        <v>978.4615729115385</v>
      </c>
      <c r="N43" s="256"/>
      <c r="O43" s="11"/>
      <c r="P43" s="156">
        <f>VLOOKUP(M42,$AY$10:$BE$21,3,FALSE)</f>
        <v>6.5</v>
      </c>
      <c r="Q43" s="13"/>
      <c r="AB43" s="115" t="s">
        <v>51</v>
      </c>
      <c r="AC43" s="115" t="s">
        <v>51</v>
      </c>
    </row>
    <row r="44" spans="2:52" ht="9.75" customHeight="1" x14ac:dyDescent="0.3">
      <c r="B44" s="10"/>
      <c r="C44" s="11"/>
      <c r="D44" s="11"/>
      <c r="E44" s="11"/>
      <c r="F44" s="11"/>
      <c r="G44" s="251"/>
      <c r="H44" s="251"/>
      <c r="I44" s="251"/>
      <c r="J44" s="251"/>
      <c r="K44" s="251"/>
      <c r="L44" s="11"/>
      <c r="M44" s="11"/>
      <c r="N44" s="11"/>
      <c r="O44" s="11"/>
      <c r="P44" s="11"/>
      <c r="Q44" s="13"/>
      <c r="AB44" s="115"/>
      <c r="AC44" s="115"/>
    </row>
    <row r="45" spans="2:52" ht="17.25" customHeight="1" x14ac:dyDescent="0.3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3"/>
    </row>
    <row r="46" spans="2:52" ht="17.25" customHeight="1" thickBot="1" x14ac:dyDescent="0.35"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8"/>
    </row>
    <row r="47" spans="2:52" x14ac:dyDescent="0.3">
      <c r="J47" s="115"/>
      <c r="K47" s="115"/>
      <c r="AC47" s="6" t="str">
        <f>CONCATENATE("PAYBACK MIN = ",AB35," ANOS")</f>
        <v>PAYBACK MIN = 3,02 ANOS</v>
      </c>
    </row>
    <row r="48" spans="2:52" ht="15" thickBot="1" x14ac:dyDescent="0.35">
      <c r="J48" s="115"/>
      <c r="K48" s="115"/>
      <c r="AC48" s="6" t="str">
        <f>CONCATENATE("PAYBACK MÉDIO = ",AB34," ANOS")</f>
        <v>PAYBACK MÉDIO = 7,88 ANOS</v>
      </c>
    </row>
    <row r="49" spans="2:29" x14ac:dyDescent="0.3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  <c r="AC49" s="6" t="str">
        <f>CONCATENATE("PAYBACK MAX = ",AB36," ANOS")</f>
        <v>PAYBACK MAX = 12,93 ANOS</v>
      </c>
    </row>
    <row r="50" spans="2:29" ht="18" x14ac:dyDescent="0.35">
      <c r="B50" s="10"/>
      <c r="C50" s="264" t="s">
        <v>90</v>
      </c>
      <c r="D50" s="264"/>
      <c r="E50" s="264"/>
      <c r="F50" s="264"/>
      <c r="G50" s="264"/>
      <c r="H50" s="11"/>
      <c r="I50" s="11"/>
      <c r="J50" s="250" t="s">
        <v>91</v>
      </c>
      <c r="K50" s="250"/>
      <c r="L50" s="11"/>
      <c r="M50" s="250" t="s">
        <v>76</v>
      </c>
      <c r="N50" s="250"/>
      <c r="O50" s="11"/>
      <c r="P50" s="11"/>
      <c r="Q50" s="13"/>
    </row>
    <row r="51" spans="2:29" x14ac:dyDescent="0.3">
      <c r="B51" s="10"/>
      <c r="C51" s="11"/>
      <c r="D51" s="11"/>
      <c r="E51" s="11"/>
      <c r="F51" s="11"/>
      <c r="G51" s="11"/>
      <c r="H51" s="11"/>
      <c r="I51" s="11"/>
      <c r="J51" s="250"/>
      <c r="K51" s="250"/>
      <c r="L51" s="11"/>
      <c r="M51" s="250"/>
      <c r="N51" s="250"/>
      <c r="O51" s="11"/>
      <c r="P51" s="11"/>
      <c r="Q51" s="13"/>
      <c r="AC51" s="6" t="str">
        <f>CONCATENATE("PERDA R$ (MAX) EM = ",AB35," ANOS")</f>
        <v>PERDA R$ (MAX) EM = 3,02 ANOS</v>
      </c>
    </row>
    <row r="52" spans="2:29" x14ac:dyDescent="0.3">
      <c r="B52" s="10"/>
      <c r="C52" s="43" t="s">
        <v>16</v>
      </c>
      <c r="D52" s="11"/>
      <c r="E52" s="43" t="s">
        <v>15</v>
      </c>
      <c r="F52" s="11"/>
      <c r="G52" s="195" t="s">
        <v>17</v>
      </c>
      <c r="H52" s="195"/>
      <c r="I52" s="11"/>
      <c r="J52" s="195" t="s">
        <v>92</v>
      </c>
      <c r="K52" s="195"/>
      <c r="L52" s="11"/>
      <c r="M52" s="195" t="s">
        <v>92</v>
      </c>
      <c r="N52" s="195"/>
      <c r="O52" s="11"/>
      <c r="P52" s="43" t="s">
        <v>89</v>
      </c>
      <c r="Q52" s="13"/>
      <c r="AC52" s="6" t="str">
        <f>CONCATENATE("PERDA R$ (MÉDIO) EM = ",AB34," ANOS")</f>
        <v>PERDA R$ (MÉDIO) EM = 7,88 ANOS</v>
      </c>
    </row>
    <row r="53" spans="2:29" ht="18" x14ac:dyDescent="0.3">
      <c r="B53" s="10"/>
      <c r="C53" s="158"/>
      <c r="D53" s="164"/>
      <c r="E53" s="159"/>
      <c r="F53" s="164"/>
      <c r="G53" s="236"/>
      <c r="H53" s="236"/>
      <c r="I53" s="164"/>
      <c r="J53" s="165"/>
      <c r="K53" s="165"/>
      <c r="L53" s="164"/>
      <c r="M53" s="165"/>
      <c r="N53" s="165"/>
      <c r="O53" s="164"/>
      <c r="P53" s="158"/>
      <c r="Q53" s="13"/>
      <c r="AC53" s="6" t="str">
        <f>CONCATENATE("PERDA R$ (MIN) EM  = ",AB36," ANOS")</f>
        <v>PERDA R$ (MIN) EM  = 12,93 ANOS</v>
      </c>
    </row>
    <row r="54" spans="2:29" ht="18" x14ac:dyDescent="0.3">
      <c r="B54" s="10"/>
      <c r="C54" s="158"/>
      <c r="D54" s="164"/>
      <c r="E54" s="159"/>
      <c r="F54" s="164"/>
      <c r="G54" s="236"/>
      <c r="H54" s="236"/>
      <c r="I54" s="164"/>
      <c r="J54" s="165"/>
      <c r="K54" s="165"/>
      <c r="L54" s="164"/>
      <c r="M54" s="165"/>
      <c r="N54" s="165"/>
      <c r="O54" s="164"/>
      <c r="P54" s="158"/>
      <c r="Q54" s="13"/>
    </row>
    <row r="55" spans="2:29" ht="18" x14ac:dyDescent="0.3">
      <c r="B55" s="10"/>
      <c r="C55" s="158"/>
      <c r="D55" s="164"/>
      <c r="E55" s="159"/>
      <c r="F55" s="164"/>
      <c r="G55" s="236"/>
      <c r="H55" s="236"/>
      <c r="I55" s="164"/>
      <c r="J55" s="165"/>
      <c r="K55" s="165"/>
      <c r="L55" s="164"/>
      <c r="M55" s="165"/>
      <c r="N55" s="165"/>
      <c r="O55" s="164"/>
      <c r="P55" s="158"/>
      <c r="Q55" s="13"/>
    </row>
    <row r="56" spans="2:29" ht="18" x14ac:dyDescent="0.3">
      <c r="B56" s="10"/>
      <c r="C56" s="158"/>
      <c r="D56" s="164"/>
      <c r="E56" s="159"/>
      <c r="F56" s="164"/>
      <c r="G56" s="236"/>
      <c r="H56" s="236"/>
      <c r="I56" s="164"/>
      <c r="J56" s="165"/>
      <c r="K56" s="165"/>
      <c r="L56" s="164"/>
      <c r="M56" s="165"/>
      <c r="N56" s="165"/>
      <c r="O56" s="164"/>
      <c r="P56" s="158"/>
      <c r="Q56" s="13"/>
    </row>
    <row r="57" spans="2:29" ht="18" x14ac:dyDescent="0.3">
      <c r="B57" s="10"/>
      <c r="C57" s="158"/>
      <c r="D57" s="164"/>
      <c r="E57" s="159"/>
      <c r="F57" s="164"/>
      <c r="G57" s="236"/>
      <c r="H57" s="236"/>
      <c r="I57" s="164"/>
      <c r="J57" s="165"/>
      <c r="K57" s="165"/>
      <c r="L57" s="164"/>
      <c r="M57" s="165"/>
      <c r="N57" s="165"/>
      <c r="O57" s="164"/>
      <c r="P57" s="158"/>
      <c r="Q57" s="13"/>
    </row>
    <row r="58" spans="2:29" ht="18" x14ac:dyDescent="0.3">
      <c r="B58" s="10"/>
      <c r="C58" s="158"/>
      <c r="D58" s="164"/>
      <c r="E58" s="159"/>
      <c r="F58" s="164"/>
      <c r="G58" s="236"/>
      <c r="H58" s="236"/>
      <c r="I58" s="164"/>
      <c r="J58" s="165"/>
      <c r="K58" s="165"/>
      <c r="L58" s="164"/>
      <c r="M58" s="165"/>
      <c r="N58" s="165"/>
      <c r="O58" s="164"/>
      <c r="P58" s="158"/>
      <c r="Q58" s="13"/>
    </row>
    <row r="59" spans="2:29" ht="18" x14ac:dyDescent="0.3">
      <c r="B59" s="10"/>
      <c r="C59" s="158"/>
      <c r="D59" s="164"/>
      <c r="E59" s="159"/>
      <c r="F59" s="164"/>
      <c r="G59" s="236"/>
      <c r="H59" s="236"/>
      <c r="I59" s="164"/>
      <c r="J59" s="165"/>
      <c r="K59" s="165"/>
      <c r="L59" s="164"/>
      <c r="M59" s="165"/>
      <c r="N59" s="165"/>
      <c r="O59" s="164"/>
      <c r="P59" s="158"/>
      <c r="Q59" s="13"/>
    </row>
    <row r="60" spans="2:29" ht="18" x14ac:dyDescent="0.3">
      <c r="B60" s="10"/>
      <c r="C60" s="158"/>
      <c r="D60" s="164"/>
      <c r="E60" s="159"/>
      <c r="F60" s="164"/>
      <c r="G60" s="236"/>
      <c r="H60" s="236"/>
      <c r="I60" s="164"/>
      <c r="J60" s="165"/>
      <c r="K60" s="165"/>
      <c r="L60" s="164"/>
      <c r="M60" s="165"/>
      <c r="N60" s="165"/>
      <c r="O60" s="164"/>
      <c r="P60" s="158"/>
      <c r="Q60" s="13"/>
    </row>
    <row r="61" spans="2:29" ht="18" x14ac:dyDescent="0.3">
      <c r="B61" s="10"/>
      <c r="C61" s="158"/>
      <c r="D61" s="164"/>
      <c r="E61" s="159"/>
      <c r="F61" s="164"/>
      <c r="G61" s="236"/>
      <c r="H61" s="236"/>
      <c r="I61" s="164"/>
      <c r="J61" s="165"/>
      <c r="K61" s="165"/>
      <c r="L61" s="164"/>
      <c r="M61" s="165"/>
      <c r="N61" s="165"/>
      <c r="O61" s="164"/>
      <c r="P61" s="158"/>
      <c r="Q61" s="13"/>
    </row>
    <row r="62" spans="2:29" ht="18" x14ac:dyDescent="0.3">
      <c r="B62" s="10"/>
      <c r="C62" s="158"/>
      <c r="D62" s="164"/>
      <c r="E62" s="159"/>
      <c r="F62" s="164"/>
      <c r="G62" s="236"/>
      <c r="H62" s="236"/>
      <c r="I62" s="164"/>
      <c r="J62" s="165"/>
      <c r="K62" s="165"/>
      <c r="L62" s="164"/>
      <c r="M62" s="165"/>
      <c r="N62" s="165"/>
      <c r="O62" s="164"/>
      <c r="P62" s="158"/>
      <c r="Q62" s="13"/>
    </row>
    <row r="63" spans="2:29" x14ac:dyDescent="0.3"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3"/>
    </row>
    <row r="64" spans="2:29" ht="15" thickBot="1" x14ac:dyDescent="0.35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8"/>
    </row>
  </sheetData>
  <sheetProtection algorithmName="SHA-512" hashValue="XqFx5KnnpiiZ7ZxedO8pI7Z9gKDZbh2gAnRpOoBbCNKdA3vFcQ24Ea2yYtooxBEeu/WjuZYTE60pdu30iO+s1Q==" saltValue="WVE3C7cQgWwDR83+gvIS8g==" spinCount="100000" sheet="1" objects="1" scenarios="1" selectLockedCells="1"/>
  <mergeCells count="66">
    <mergeCell ref="G60:H60"/>
    <mergeCell ref="G61:H61"/>
    <mergeCell ref="G62:H62"/>
    <mergeCell ref="G56:H56"/>
    <mergeCell ref="G57:H57"/>
    <mergeCell ref="G58:H58"/>
    <mergeCell ref="G59:H59"/>
    <mergeCell ref="G53:H53"/>
    <mergeCell ref="G54:H54"/>
    <mergeCell ref="G55:H55"/>
    <mergeCell ref="C50:G50"/>
    <mergeCell ref="G40:K41"/>
    <mergeCell ref="G36:H36"/>
    <mergeCell ref="J36:K36"/>
    <mergeCell ref="M50:N51"/>
    <mergeCell ref="G52:H52"/>
    <mergeCell ref="J52:K52"/>
    <mergeCell ref="M52:N52"/>
    <mergeCell ref="J50:K51"/>
    <mergeCell ref="G43:K44"/>
    <mergeCell ref="G42:K42"/>
    <mergeCell ref="M42:N42"/>
    <mergeCell ref="M43:N43"/>
    <mergeCell ref="M39:N39"/>
    <mergeCell ref="M40:N40"/>
    <mergeCell ref="M36:N36"/>
    <mergeCell ref="M37:N37"/>
    <mergeCell ref="G33:K33"/>
    <mergeCell ref="G15:H15"/>
    <mergeCell ref="G14:H14"/>
    <mergeCell ref="G35:K35"/>
    <mergeCell ref="J9:K9"/>
    <mergeCell ref="G18:H19"/>
    <mergeCell ref="J18:K19"/>
    <mergeCell ref="G29:H30"/>
    <mergeCell ref="G32:K32"/>
    <mergeCell ref="G9:H9"/>
    <mergeCell ref="G10:H10"/>
    <mergeCell ref="G11:H11"/>
    <mergeCell ref="G12:H12"/>
    <mergeCell ref="G13:H13"/>
    <mergeCell ref="I29:J30"/>
    <mergeCell ref="M32:N32"/>
    <mergeCell ref="M33:N33"/>
    <mergeCell ref="M35:N35"/>
    <mergeCell ref="AI10:AI15"/>
    <mergeCell ref="AI16:AI21"/>
    <mergeCell ref="AB19:AD19"/>
    <mergeCell ref="M29:N29"/>
    <mergeCell ref="M30:N30"/>
    <mergeCell ref="T17:Y19"/>
    <mergeCell ref="G3:H3"/>
    <mergeCell ref="G4:H4"/>
    <mergeCell ref="AB9:AC9"/>
    <mergeCell ref="AK7:AM7"/>
    <mergeCell ref="J4:K4"/>
    <mergeCell ref="M4:N4"/>
    <mergeCell ref="AB8:AC8"/>
    <mergeCell ref="AK8:AM8"/>
    <mergeCell ref="J5:K5"/>
    <mergeCell ref="J6:K6"/>
    <mergeCell ref="J7:K7"/>
    <mergeCell ref="M5:N5"/>
    <mergeCell ref="M6:N6"/>
    <mergeCell ref="M7:N7"/>
    <mergeCell ref="M9:N9"/>
  </mergeCells>
  <dataValidations count="2">
    <dataValidation type="list" allowBlank="1" showInputMessage="1" showErrorMessage="1" sqref="M32 E32">
      <formula1>$E$10:$E$15</formula1>
    </dataValidation>
    <dataValidation type="list" allowBlank="1" showInputMessage="1" showErrorMessage="1" sqref="AP9 I29:J30">
      <formula1>$AK$9:$AM$9</formula1>
    </dataValidation>
  </dataValidations>
  <hyperlinks>
    <hyperlink ref="T17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6" orientation="portrait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108"/>
  <sheetViews>
    <sheetView showGridLines="0" zoomScale="80" zoomScaleNormal="80" workbookViewId="0">
      <selection activeCell="G19" sqref="G19"/>
    </sheetView>
  </sheetViews>
  <sheetFormatPr defaultRowHeight="14.4" x14ac:dyDescent="0.3"/>
  <cols>
    <col min="1" max="1" width="2.21875" style="6" customWidth="1"/>
    <col min="2" max="2" width="2.5546875" style="6" customWidth="1"/>
    <col min="3" max="3" width="8.5546875" style="6" customWidth="1"/>
    <col min="4" max="4" width="2.5546875" style="6" customWidth="1"/>
    <col min="5" max="5" width="8.88671875" style="6"/>
    <col min="6" max="6" width="2.5546875" style="6" customWidth="1"/>
    <col min="7" max="7" width="31.44140625" style="6" customWidth="1"/>
    <col min="8" max="8" width="2.5546875" style="6" customWidth="1"/>
    <col min="9" max="9" width="18.5546875" style="6" customWidth="1"/>
    <col min="10" max="10" width="2.5546875" style="6" customWidth="1"/>
    <col min="11" max="11" width="22.21875" style="6" customWidth="1"/>
    <col min="12" max="12" width="2.5546875" style="6" customWidth="1"/>
    <col min="13" max="14" width="10.77734375" style="6" customWidth="1"/>
    <col min="15" max="15" width="2.5546875" style="6" customWidth="1"/>
    <col min="16" max="17" width="10.77734375" style="6" customWidth="1"/>
    <col min="18" max="18" width="2.5546875" style="6" customWidth="1"/>
    <col min="19" max="19" width="38.44140625" style="6" customWidth="1"/>
    <col min="20" max="20" width="2.5546875" style="6" customWidth="1"/>
    <col min="21" max="16384" width="8.88671875" style="6"/>
  </cols>
  <sheetData>
    <row r="1" spans="2:20" ht="15" thickBot="1" x14ac:dyDescent="0.35"/>
    <row r="2" spans="2:20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2:20" ht="48" customHeight="1" x14ac:dyDescent="0.35">
      <c r="B3" s="10"/>
      <c r="C3" s="11"/>
      <c r="D3" s="11"/>
      <c r="G3" s="266" t="s">
        <v>94</v>
      </c>
      <c r="H3" s="267"/>
      <c r="I3" s="268"/>
      <c r="L3" s="11"/>
      <c r="M3" s="250" t="s">
        <v>91</v>
      </c>
      <c r="N3" s="250"/>
      <c r="O3" s="11"/>
      <c r="P3" s="250" t="s">
        <v>76</v>
      </c>
      <c r="Q3" s="250"/>
      <c r="R3" s="11"/>
      <c r="S3" s="11"/>
      <c r="T3" s="13"/>
    </row>
    <row r="4" spans="2:20" ht="14.4" customHeight="1" x14ac:dyDescent="0.3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269" t="s">
        <v>92</v>
      </c>
      <c r="N4" s="270"/>
      <c r="O4" s="11"/>
      <c r="P4" s="269" t="s">
        <v>92</v>
      </c>
      <c r="Q4" s="270"/>
      <c r="R4" s="11"/>
      <c r="S4" s="11"/>
      <c r="T4" s="13"/>
    </row>
    <row r="5" spans="2:20" s="20" customFormat="1" ht="32.4" customHeight="1" x14ac:dyDescent="0.3">
      <c r="B5" s="14"/>
      <c r="C5" s="15"/>
      <c r="D5" s="15"/>
      <c r="E5" s="170" t="s">
        <v>16</v>
      </c>
      <c r="F5" s="15"/>
      <c r="G5" s="170" t="s">
        <v>15</v>
      </c>
      <c r="H5" s="15"/>
      <c r="I5" s="170" t="s">
        <v>56</v>
      </c>
      <c r="J5" s="15"/>
      <c r="K5" s="170" t="s">
        <v>17</v>
      </c>
      <c r="L5" s="15"/>
      <c r="M5" s="175" t="s">
        <v>97</v>
      </c>
      <c r="N5" s="175" t="s">
        <v>98</v>
      </c>
      <c r="O5" s="15"/>
      <c r="P5" s="175" t="s">
        <v>95</v>
      </c>
      <c r="Q5" s="175" t="s">
        <v>96</v>
      </c>
      <c r="R5" s="15"/>
      <c r="S5" s="170" t="s">
        <v>93</v>
      </c>
      <c r="T5" s="19"/>
    </row>
    <row r="6" spans="2:20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68"/>
      <c r="N6" s="168"/>
      <c r="O6" s="11"/>
      <c r="P6" s="168"/>
      <c r="Q6" s="168"/>
      <c r="R6" s="11"/>
      <c r="S6" s="11"/>
      <c r="T6" s="13"/>
    </row>
    <row r="7" spans="2:20" ht="15.6" x14ac:dyDescent="0.3">
      <c r="B7" s="10"/>
      <c r="C7" s="169">
        <v>1</v>
      </c>
      <c r="D7" s="11"/>
      <c r="E7" s="158">
        <v>2008</v>
      </c>
      <c r="F7" s="164"/>
      <c r="G7" s="159" t="s">
        <v>82</v>
      </c>
      <c r="H7" s="164"/>
      <c r="I7" s="159" t="s">
        <v>101</v>
      </c>
      <c r="J7" s="164"/>
      <c r="K7" s="172">
        <v>5000</v>
      </c>
      <c r="L7" s="164"/>
      <c r="M7" s="174">
        <v>7</v>
      </c>
      <c r="N7" s="174">
        <v>9</v>
      </c>
      <c r="O7" s="164"/>
      <c r="P7" s="173">
        <v>6</v>
      </c>
      <c r="Q7" s="173">
        <v>8</v>
      </c>
      <c r="R7" s="164"/>
      <c r="S7" s="158"/>
      <c r="T7" s="13"/>
    </row>
    <row r="8" spans="2:20" ht="15.6" x14ac:dyDescent="0.3">
      <c r="B8" s="10"/>
      <c r="C8" s="169">
        <v>2</v>
      </c>
      <c r="D8" s="11"/>
      <c r="E8" s="158">
        <v>2007</v>
      </c>
      <c r="F8" s="164"/>
      <c r="G8" s="159" t="s">
        <v>77</v>
      </c>
      <c r="H8" s="164"/>
      <c r="I8" s="159" t="s">
        <v>101</v>
      </c>
      <c r="J8" s="164"/>
      <c r="K8" s="172">
        <v>7000</v>
      </c>
      <c r="L8" s="164"/>
      <c r="M8" s="174">
        <v>5</v>
      </c>
      <c r="N8" s="174">
        <v>6</v>
      </c>
      <c r="O8" s="164"/>
      <c r="P8" s="173">
        <v>4</v>
      </c>
      <c r="Q8" s="173">
        <v>5</v>
      </c>
      <c r="R8" s="164"/>
      <c r="S8" s="158"/>
      <c r="T8" s="13"/>
    </row>
    <row r="9" spans="2:20" ht="15.6" x14ac:dyDescent="0.3">
      <c r="B9" s="10"/>
      <c r="C9" s="169">
        <v>3</v>
      </c>
      <c r="D9" s="11"/>
      <c r="E9" s="158">
        <v>2012</v>
      </c>
      <c r="F9" s="164"/>
      <c r="G9" s="159" t="s">
        <v>78</v>
      </c>
      <c r="H9" s="164"/>
      <c r="I9" s="159" t="s">
        <v>102</v>
      </c>
      <c r="J9" s="164"/>
      <c r="K9" s="172">
        <v>13000</v>
      </c>
      <c r="L9" s="164"/>
      <c r="M9" s="174">
        <v>7</v>
      </c>
      <c r="N9" s="174">
        <v>8</v>
      </c>
      <c r="O9" s="164"/>
      <c r="P9" s="173">
        <v>5</v>
      </c>
      <c r="Q9" s="173">
        <v>6</v>
      </c>
      <c r="R9" s="164"/>
      <c r="S9" s="158"/>
      <c r="T9" s="13"/>
    </row>
    <row r="10" spans="2:20" ht="15.6" x14ac:dyDescent="0.3">
      <c r="B10" s="10"/>
      <c r="C10" s="169">
        <v>4</v>
      </c>
      <c r="D10" s="11"/>
      <c r="E10" s="158">
        <v>2013</v>
      </c>
      <c r="F10" s="164"/>
      <c r="G10" s="159" t="s">
        <v>79</v>
      </c>
      <c r="H10" s="164"/>
      <c r="I10" s="159" t="s">
        <v>102</v>
      </c>
      <c r="J10" s="164"/>
      <c r="K10" s="172">
        <v>14000</v>
      </c>
      <c r="L10" s="164"/>
      <c r="M10" s="174">
        <v>8</v>
      </c>
      <c r="N10" s="174">
        <v>10</v>
      </c>
      <c r="O10" s="164"/>
      <c r="P10" s="173">
        <v>6</v>
      </c>
      <c r="Q10" s="173">
        <v>8</v>
      </c>
      <c r="R10" s="164"/>
      <c r="S10" s="158"/>
      <c r="T10" s="13"/>
    </row>
    <row r="11" spans="2:20" ht="15.6" x14ac:dyDescent="0.3">
      <c r="B11" s="10"/>
      <c r="C11" s="169">
        <v>5</v>
      </c>
      <c r="D11" s="11"/>
      <c r="E11" s="158">
        <v>2020</v>
      </c>
      <c r="F11" s="164"/>
      <c r="G11" s="159" t="s">
        <v>80</v>
      </c>
      <c r="H11" s="164"/>
      <c r="I11" s="159" t="s">
        <v>103</v>
      </c>
      <c r="J11" s="164"/>
      <c r="K11" s="172">
        <v>32000</v>
      </c>
      <c r="L11" s="164"/>
      <c r="M11" s="174">
        <v>11</v>
      </c>
      <c r="N11" s="174">
        <v>14</v>
      </c>
      <c r="O11" s="164"/>
      <c r="P11" s="173">
        <v>9</v>
      </c>
      <c r="Q11" s="173">
        <v>11</v>
      </c>
      <c r="R11" s="164"/>
      <c r="S11" s="158"/>
      <c r="T11" s="13"/>
    </row>
    <row r="12" spans="2:20" ht="15.6" x14ac:dyDescent="0.3">
      <c r="B12" s="10"/>
      <c r="C12" s="169">
        <v>6</v>
      </c>
      <c r="D12" s="11"/>
      <c r="E12" s="158">
        <v>2020</v>
      </c>
      <c r="F12" s="164"/>
      <c r="G12" s="159" t="s">
        <v>81</v>
      </c>
      <c r="H12" s="164"/>
      <c r="I12" s="159" t="s">
        <v>103</v>
      </c>
      <c r="J12" s="164"/>
      <c r="K12" s="172">
        <v>45000</v>
      </c>
      <c r="L12" s="164"/>
      <c r="M12" s="174">
        <v>8</v>
      </c>
      <c r="N12" s="174">
        <v>9</v>
      </c>
      <c r="O12" s="164"/>
      <c r="P12" s="173">
        <v>6</v>
      </c>
      <c r="Q12" s="173">
        <v>7</v>
      </c>
      <c r="R12" s="164"/>
      <c r="S12" s="158"/>
      <c r="T12" s="13"/>
    </row>
    <row r="13" spans="2:20" ht="15.6" x14ac:dyDescent="0.3">
      <c r="B13" s="10"/>
      <c r="C13" s="169">
        <v>7</v>
      </c>
      <c r="D13" s="11"/>
      <c r="E13" s="158"/>
      <c r="F13" s="164"/>
      <c r="G13" s="159"/>
      <c r="H13" s="164"/>
      <c r="I13" s="159"/>
      <c r="J13" s="164"/>
      <c r="K13" s="172"/>
      <c r="L13" s="164"/>
      <c r="M13" s="174"/>
      <c r="N13" s="174"/>
      <c r="O13" s="164"/>
      <c r="P13" s="173"/>
      <c r="Q13" s="173"/>
      <c r="R13" s="164"/>
      <c r="S13" s="158"/>
      <c r="T13" s="13"/>
    </row>
    <row r="14" spans="2:20" ht="15.6" x14ac:dyDescent="0.3">
      <c r="B14" s="10"/>
      <c r="C14" s="169">
        <v>8</v>
      </c>
      <c r="D14" s="11"/>
      <c r="E14" s="158"/>
      <c r="F14" s="164"/>
      <c r="G14" s="159"/>
      <c r="H14" s="164"/>
      <c r="I14" s="159"/>
      <c r="J14" s="164"/>
      <c r="K14" s="172"/>
      <c r="L14" s="164"/>
      <c r="M14" s="174"/>
      <c r="N14" s="174"/>
      <c r="O14" s="164"/>
      <c r="P14" s="173"/>
      <c r="Q14" s="173"/>
      <c r="R14" s="164"/>
      <c r="S14" s="158"/>
      <c r="T14" s="13"/>
    </row>
    <row r="15" spans="2:20" ht="15.6" x14ac:dyDescent="0.3">
      <c r="B15" s="10"/>
      <c r="C15" s="169">
        <v>9</v>
      </c>
      <c r="D15" s="11"/>
      <c r="E15" s="158"/>
      <c r="F15" s="164"/>
      <c r="G15" s="159"/>
      <c r="H15" s="164"/>
      <c r="I15" s="159"/>
      <c r="J15" s="164"/>
      <c r="K15" s="172"/>
      <c r="L15" s="164"/>
      <c r="M15" s="174"/>
      <c r="N15" s="174"/>
      <c r="O15" s="164"/>
      <c r="P15" s="173"/>
      <c r="Q15" s="173"/>
      <c r="R15" s="164"/>
      <c r="S15" s="158"/>
      <c r="T15" s="13"/>
    </row>
    <row r="16" spans="2:20" ht="15.6" x14ac:dyDescent="0.3">
      <c r="B16" s="10"/>
      <c r="C16" s="169">
        <v>10</v>
      </c>
      <c r="D16" s="11"/>
      <c r="E16" s="158"/>
      <c r="F16" s="164"/>
      <c r="G16" s="159"/>
      <c r="H16" s="164"/>
      <c r="I16" s="159"/>
      <c r="J16" s="164"/>
      <c r="K16" s="172"/>
      <c r="L16" s="164"/>
      <c r="M16" s="174"/>
      <c r="N16" s="174"/>
      <c r="O16" s="164"/>
      <c r="P16" s="173"/>
      <c r="Q16" s="173"/>
      <c r="R16" s="164"/>
      <c r="S16" s="158"/>
      <c r="T16" s="13"/>
    </row>
    <row r="17" spans="2:20" ht="15.6" x14ac:dyDescent="0.3">
      <c r="B17" s="10"/>
      <c r="C17" s="169">
        <v>11</v>
      </c>
      <c r="D17" s="11"/>
      <c r="E17" s="158"/>
      <c r="F17" s="164"/>
      <c r="G17" s="159"/>
      <c r="H17" s="164"/>
      <c r="I17" s="159"/>
      <c r="J17" s="164"/>
      <c r="K17" s="172"/>
      <c r="L17" s="164"/>
      <c r="M17" s="174"/>
      <c r="N17" s="174"/>
      <c r="O17" s="164"/>
      <c r="P17" s="173"/>
      <c r="Q17" s="173"/>
      <c r="R17" s="164"/>
      <c r="S17" s="158"/>
      <c r="T17" s="13"/>
    </row>
    <row r="18" spans="2:20" ht="15.6" x14ac:dyDescent="0.3">
      <c r="B18" s="10"/>
      <c r="C18" s="169">
        <v>12</v>
      </c>
      <c r="D18" s="11"/>
      <c r="E18" s="158"/>
      <c r="F18" s="164"/>
      <c r="G18" s="159"/>
      <c r="H18" s="164"/>
      <c r="I18" s="159"/>
      <c r="J18" s="164"/>
      <c r="K18" s="172"/>
      <c r="L18" s="164"/>
      <c r="M18" s="174"/>
      <c r="N18" s="174"/>
      <c r="O18" s="164"/>
      <c r="P18" s="173"/>
      <c r="Q18" s="173"/>
      <c r="R18" s="164"/>
      <c r="S18" s="158"/>
      <c r="T18" s="13"/>
    </row>
    <row r="19" spans="2:20" ht="15.6" x14ac:dyDescent="0.3">
      <c r="B19" s="10"/>
      <c r="C19" s="169">
        <v>13</v>
      </c>
      <c r="D19" s="11"/>
      <c r="E19" s="158"/>
      <c r="F19" s="164"/>
      <c r="G19" s="159"/>
      <c r="H19" s="164"/>
      <c r="I19" s="159"/>
      <c r="J19" s="164"/>
      <c r="K19" s="172"/>
      <c r="L19" s="164"/>
      <c r="M19" s="174"/>
      <c r="N19" s="174"/>
      <c r="O19" s="164"/>
      <c r="P19" s="173"/>
      <c r="Q19" s="173"/>
      <c r="R19" s="164"/>
      <c r="S19" s="158"/>
      <c r="T19" s="13"/>
    </row>
    <row r="20" spans="2:20" ht="15.6" x14ac:dyDescent="0.3">
      <c r="B20" s="10"/>
      <c r="C20" s="169">
        <v>14</v>
      </c>
      <c r="D20" s="11"/>
      <c r="E20" s="158"/>
      <c r="F20" s="164"/>
      <c r="G20" s="159"/>
      <c r="H20" s="164"/>
      <c r="I20" s="159"/>
      <c r="J20" s="164"/>
      <c r="K20" s="172"/>
      <c r="L20" s="164"/>
      <c r="M20" s="174"/>
      <c r="N20" s="174"/>
      <c r="O20" s="164"/>
      <c r="P20" s="173"/>
      <c r="Q20" s="173"/>
      <c r="R20" s="164"/>
      <c r="S20" s="158"/>
      <c r="T20" s="13"/>
    </row>
    <row r="21" spans="2:20" ht="15.6" x14ac:dyDescent="0.3">
      <c r="B21" s="10"/>
      <c r="C21" s="169">
        <v>15</v>
      </c>
      <c r="D21" s="11"/>
      <c r="E21" s="158"/>
      <c r="F21" s="164"/>
      <c r="G21" s="159"/>
      <c r="H21" s="164"/>
      <c r="I21" s="159"/>
      <c r="J21" s="164"/>
      <c r="K21" s="172"/>
      <c r="L21" s="164"/>
      <c r="M21" s="174"/>
      <c r="N21" s="174"/>
      <c r="O21" s="164"/>
      <c r="P21" s="173"/>
      <c r="Q21" s="173"/>
      <c r="R21" s="164"/>
      <c r="S21" s="158"/>
      <c r="T21" s="13"/>
    </row>
    <row r="22" spans="2:20" ht="15.6" x14ac:dyDescent="0.3">
      <c r="B22" s="10"/>
      <c r="C22" s="169">
        <v>16</v>
      </c>
      <c r="D22" s="11"/>
      <c r="E22" s="158"/>
      <c r="F22" s="164"/>
      <c r="G22" s="159"/>
      <c r="H22" s="164"/>
      <c r="I22" s="159"/>
      <c r="J22" s="164"/>
      <c r="K22" s="172"/>
      <c r="L22" s="164"/>
      <c r="M22" s="174"/>
      <c r="N22" s="174"/>
      <c r="O22" s="164"/>
      <c r="P22" s="173"/>
      <c r="Q22" s="173"/>
      <c r="R22" s="164"/>
      <c r="S22" s="158"/>
      <c r="T22" s="13"/>
    </row>
    <row r="23" spans="2:20" ht="15.6" x14ac:dyDescent="0.3">
      <c r="B23" s="10"/>
      <c r="C23" s="169">
        <v>17</v>
      </c>
      <c r="D23" s="11"/>
      <c r="E23" s="158"/>
      <c r="F23" s="164"/>
      <c r="G23" s="159"/>
      <c r="H23" s="164"/>
      <c r="I23" s="159"/>
      <c r="J23" s="164"/>
      <c r="K23" s="172"/>
      <c r="L23" s="164"/>
      <c r="M23" s="174"/>
      <c r="N23" s="174"/>
      <c r="O23" s="164"/>
      <c r="P23" s="173"/>
      <c r="Q23" s="173"/>
      <c r="R23" s="164"/>
      <c r="S23" s="158"/>
      <c r="T23" s="13"/>
    </row>
    <row r="24" spans="2:20" ht="15.6" x14ac:dyDescent="0.3">
      <c r="B24" s="10"/>
      <c r="C24" s="169">
        <v>18</v>
      </c>
      <c r="D24" s="11"/>
      <c r="E24" s="158"/>
      <c r="F24" s="164"/>
      <c r="G24" s="159"/>
      <c r="H24" s="164"/>
      <c r="I24" s="159"/>
      <c r="J24" s="164"/>
      <c r="K24" s="172"/>
      <c r="L24" s="164"/>
      <c r="M24" s="174"/>
      <c r="N24" s="174"/>
      <c r="O24" s="164"/>
      <c r="P24" s="173"/>
      <c r="Q24" s="173"/>
      <c r="R24" s="164"/>
      <c r="S24" s="158"/>
      <c r="T24" s="13"/>
    </row>
    <row r="25" spans="2:20" ht="15.6" x14ac:dyDescent="0.3">
      <c r="B25" s="10"/>
      <c r="C25" s="169">
        <v>19</v>
      </c>
      <c r="D25" s="11"/>
      <c r="E25" s="158"/>
      <c r="F25" s="164"/>
      <c r="G25" s="159"/>
      <c r="H25" s="164"/>
      <c r="I25" s="159"/>
      <c r="J25" s="164"/>
      <c r="K25" s="172"/>
      <c r="L25" s="164"/>
      <c r="M25" s="174"/>
      <c r="N25" s="174"/>
      <c r="O25" s="164"/>
      <c r="P25" s="173"/>
      <c r="Q25" s="173"/>
      <c r="R25" s="164"/>
      <c r="S25" s="158"/>
      <c r="T25" s="13"/>
    </row>
    <row r="26" spans="2:20" ht="15.6" x14ac:dyDescent="0.3">
      <c r="B26" s="10"/>
      <c r="C26" s="169">
        <v>20</v>
      </c>
      <c r="D26" s="11"/>
      <c r="E26" s="158"/>
      <c r="F26" s="164"/>
      <c r="G26" s="159"/>
      <c r="H26" s="164"/>
      <c r="I26" s="159"/>
      <c r="J26" s="164"/>
      <c r="K26" s="172"/>
      <c r="L26" s="164"/>
      <c r="M26" s="174"/>
      <c r="N26" s="174"/>
      <c r="O26" s="164"/>
      <c r="P26" s="173"/>
      <c r="Q26" s="173"/>
      <c r="R26" s="164"/>
      <c r="S26" s="158"/>
      <c r="T26" s="13"/>
    </row>
    <row r="27" spans="2:20" ht="15.6" x14ac:dyDescent="0.3">
      <c r="B27" s="10"/>
      <c r="C27" s="169">
        <v>21</v>
      </c>
      <c r="D27" s="11"/>
      <c r="E27" s="158"/>
      <c r="F27" s="164"/>
      <c r="G27" s="159"/>
      <c r="H27" s="164"/>
      <c r="I27" s="159"/>
      <c r="J27" s="164"/>
      <c r="K27" s="172"/>
      <c r="L27" s="164"/>
      <c r="M27" s="174"/>
      <c r="N27" s="174"/>
      <c r="O27" s="164"/>
      <c r="P27" s="173"/>
      <c r="Q27" s="173"/>
      <c r="R27" s="164"/>
      <c r="S27" s="158"/>
      <c r="T27" s="13"/>
    </row>
    <row r="28" spans="2:20" ht="15.6" x14ac:dyDescent="0.3">
      <c r="B28" s="10"/>
      <c r="C28" s="169">
        <v>22</v>
      </c>
      <c r="D28" s="11"/>
      <c r="E28" s="158"/>
      <c r="F28" s="164"/>
      <c r="G28" s="159"/>
      <c r="H28" s="164"/>
      <c r="I28" s="159"/>
      <c r="J28" s="164"/>
      <c r="K28" s="172"/>
      <c r="L28" s="164"/>
      <c r="M28" s="174"/>
      <c r="N28" s="174"/>
      <c r="O28" s="164"/>
      <c r="P28" s="173"/>
      <c r="Q28" s="173"/>
      <c r="R28" s="164"/>
      <c r="S28" s="158"/>
      <c r="T28" s="13"/>
    </row>
    <row r="29" spans="2:20" ht="15.6" x14ac:dyDescent="0.3">
      <c r="B29" s="10"/>
      <c r="C29" s="169">
        <v>23</v>
      </c>
      <c r="D29" s="11"/>
      <c r="E29" s="158"/>
      <c r="F29" s="164"/>
      <c r="G29" s="159"/>
      <c r="H29" s="164"/>
      <c r="I29" s="159"/>
      <c r="J29" s="164"/>
      <c r="K29" s="172"/>
      <c r="L29" s="164"/>
      <c r="M29" s="174"/>
      <c r="N29" s="174"/>
      <c r="O29" s="164"/>
      <c r="P29" s="173"/>
      <c r="Q29" s="173"/>
      <c r="R29" s="164"/>
      <c r="S29" s="158"/>
      <c r="T29" s="13"/>
    </row>
    <row r="30" spans="2:20" ht="15.6" x14ac:dyDescent="0.3">
      <c r="B30" s="10"/>
      <c r="C30" s="169">
        <v>24</v>
      </c>
      <c r="D30" s="11"/>
      <c r="E30" s="158"/>
      <c r="F30" s="164"/>
      <c r="G30" s="159"/>
      <c r="H30" s="164"/>
      <c r="I30" s="159"/>
      <c r="J30" s="164"/>
      <c r="K30" s="172"/>
      <c r="L30" s="164"/>
      <c r="M30" s="174"/>
      <c r="N30" s="174"/>
      <c r="O30" s="164"/>
      <c r="P30" s="173"/>
      <c r="Q30" s="173"/>
      <c r="R30" s="164"/>
      <c r="S30" s="158"/>
      <c r="T30" s="13"/>
    </row>
    <row r="31" spans="2:20" ht="15.6" x14ac:dyDescent="0.3">
      <c r="B31" s="10"/>
      <c r="C31" s="169">
        <v>25</v>
      </c>
      <c r="D31" s="11"/>
      <c r="E31" s="158"/>
      <c r="F31" s="164"/>
      <c r="G31" s="159"/>
      <c r="H31" s="164"/>
      <c r="I31" s="159"/>
      <c r="J31" s="164"/>
      <c r="K31" s="172"/>
      <c r="L31" s="164"/>
      <c r="M31" s="174"/>
      <c r="N31" s="174"/>
      <c r="O31" s="164"/>
      <c r="P31" s="173"/>
      <c r="Q31" s="173"/>
      <c r="R31" s="164"/>
      <c r="S31" s="158"/>
      <c r="T31" s="13"/>
    </row>
    <row r="32" spans="2:20" ht="15.6" x14ac:dyDescent="0.3">
      <c r="B32" s="10"/>
      <c r="C32" s="169">
        <v>26</v>
      </c>
      <c r="D32" s="11"/>
      <c r="E32" s="158"/>
      <c r="F32" s="164"/>
      <c r="G32" s="159"/>
      <c r="H32" s="164"/>
      <c r="I32" s="159"/>
      <c r="J32" s="164"/>
      <c r="K32" s="172"/>
      <c r="L32" s="164"/>
      <c r="M32" s="174"/>
      <c r="N32" s="174"/>
      <c r="O32" s="164"/>
      <c r="P32" s="173"/>
      <c r="Q32" s="173"/>
      <c r="R32" s="164"/>
      <c r="S32" s="158"/>
      <c r="T32" s="13"/>
    </row>
    <row r="33" spans="2:20" ht="15.6" x14ac:dyDescent="0.3">
      <c r="B33" s="10"/>
      <c r="C33" s="169">
        <v>27</v>
      </c>
      <c r="D33" s="11"/>
      <c r="E33" s="158"/>
      <c r="F33" s="164"/>
      <c r="G33" s="159"/>
      <c r="H33" s="164"/>
      <c r="I33" s="159"/>
      <c r="J33" s="164"/>
      <c r="K33" s="172"/>
      <c r="L33" s="164"/>
      <c r="M33" s="174"/>
      <c r="N33" s="174"/>
      <c r="O33" s="164"/>
      <c r="P33" s="173"/>
      <c r="Q33" s="173"/>
      <c r="R33" s="164"/>
      <c r="S33" s="158"/>
      <c r="T33" s="13"/>
    </row>
    <row r="34" spans="2:20" ht="15.6" x14ac:dyDescent="0.3">
      <c r="B34" s="10"/>
      <c r="C34" s="169">
        <v>28</v>
      </c>
      <c r="D34" s="11"/>
      <c r="E34" s="158"/>
      <c r="F34" s="164"/>
      <c r="G34" s="159"/>
      <c r="H34" s="164"/>
      <c r="I34" s="159"/>
      <c r="J34" s="164"/>
      <c r="K34" s="172"/>
      <c r="L34" s="164"/>
      <c r="M34" s="174"/>
      <c r="N34" s="174"/>
      <c r="O34" s="164"/>
      <c r="P34" s="173"/>
      <c r="Q34" s="173"/>
      <c r="R34" s="164"/>
      <c r="S34" s="158"/>
      <c r="T34" s="13"/>
    </row>
    <row r="35" spans="2:20" ht="15.6" x14ac:dyDescent="0.3">
      <c r="B35" s="10"/>
      <c r="C35" s="169">
        <v>29</v>
      </c>
      <c r="D35" s="11"/>
      <c r="E35" s="158"/>
      <c r="F35" s="164"/>
      <c r="G35" s="159"/>
      <c r="H35" s="164"/>
      <c r="I35" s="159"/>
      <c r="J35" s="164"/>
      <c r="K35" s="172"/>
      <c r="L35" s="164"/>
      <c r="M35" s="174"/>
      <c r="N35" s="174"/>
      <c r="O35" s="164"/>
      <c r="P35" s="173"/>
      <c r="Q35" s="173"/>
      <c r="R35" s="164"/>
      <c r="S35" s="158"/>
      <c r="T35" s="13"/>
    </row>
    <row r="36" spans="2:20" ht="15.6" x14ac:dyDescent="0.3">
      <c r="B36" s="10"/>
      <c r="C36" s="169">
        <v>30</v>
      </c>
      <c r="D36" s="11"/>
      <c r="E36" s="158"/>
      <c r="F36" s="164"/>
      <c r="G36" s="159"/>
      <c r="H36" s="164"/>
      <c r="I36" s="159"/>
      <c r="J36" s="164"/>
      <c r="K36" s="172"/>
      <c r="L36" s="164"/>
      <c r="M36" s="174"/>
      <c r="N36" s="174"/>
      <c r="O36" s="164"/>
      <c r="P36" s="173"/>
      <c r="Q36" s="173"/>
      <c r="R36" s="164"/>
      <c r="S36" s="158"/>
      <c r="T36" s="13"/>
    </row>
    <row r="37" spans="2:20" ht="15.6" x14ac:dyDescent="0.3">
      <c r="B37" s="10"/>
      <c r="C37" s="169">
        <v>31</v>
      </c>
      <c r="D37" s="11"/>
      <c r="E37" s="158"/>
      <c r="F37" s="164"/>
      <c r="G37" s="159"/>
      <c r="H37" s="164"/>
      <c r="I37" s="159"/>
      <c r="J37" s="164"/>
      <c r="K37" s="172"/>
      <c r="L37" s="164"/>
      <c r="M37" s="174"/>
      <c r="N37" s="174"/>
      <c r="O37" s="164"/>
      <c r="P37" s="173"/>
      <c r="Q37" s="173"/>
      <c r="R37" s="164"/>
      <c r="S37" s="158"/>
      <c r="T37" s="13"/>
    </row>
    <row r="38" spans="2:20" ht="15.6" x14ac:dyDescent="0.3">
      <c r="B38" s="10"/>
      <c r="C38" s="169">
        <v>32</v>
      </c>
      <c r="D38" s="11"/>
      <c r="E38" s="158"/>
      <c r="F38" s="164"/>
      <c r="G38" s="159"/>
      <c r="H38" s="164"/>
      <c r="I38" s="159"/>
      <c r="J38" s="164"/>
      <c r="K38" s="172"/>
      <c r="L38" s="164"/>
      <c r="M38" s="174"/>
      <c r="N38" s="174"/>
      <c r="O38" s="164"/>
      <c r="P38" s="173"/>
      <c r="Q38" s="173"/>
      <c r="R38" s="164"/>
      <c r="S38" s="158"/>
      <c r="T38" s="13"/>
    </row>
    <row r="39" spans="2:20" ht="15.6" x14ac:dyDescent="0.3">
      <c r="B39" s="10"/>
      <c r="C39" s="169">
        <v>33</v>
      </c>
      <c r="D39" s="11"/>
      <c r="E39" s="158"/>
      <c r="F39" s="164"/>
      <c r="G39" s="159"/>
      <c r="H39" s="164"/>
      <c r="I39" s="159"/>
      <c r="J39" s="164"/>
      <c r="K39" s="172"/>
      <c r="L39" s="164"/>
      <c r="M39" s="174"/>
      <c r="N39" s="174"/>
      <c r="O39" s="164"/>
      <c r="P39" s="173"/>
      <c r="Q39" s="173"/>
      <c r="R39" s="164"/>
      <c r="S39" s="158"/>
      <c r="T39" s="13"/>
    </row>
    <row r="40" spans="2:20" ht="15.6" x14ac:dyDescent="0.3">
      <c r="B40" s="10"/>
      <c r="C40" s="169">
        <v>34</v>
      </c>
      <c r="D40" s="11"/>
      <c r="E40" s="158"/>
      <c r="F40" s="164"/>
      <c r="G40" s="159"/>
      <c r="H40" s="164"/>
      <c r="I40" s="159"/>
      <c r="J40" s="164"/>
      <c r="K40" s="172"/>
      <c r="L40" s="164"/>
      <c r="M40" s="174"/>
      <c r="N40" s="174"/>
      <c r="O40" s="164"/>
      <c r="P40" s="173"/>
      <c r="Q40" s="173"/>
      <c r="R40" s="164"/>
      <c r="S40" s="158"/>
      <c r="T40" s="13"/>
    </row>
    <row r="41" spans="2:20" ht="15.6" x14ac:dyDescent="0.3">
      <c r="B41" s="10"/>
      <c r="C41" s="169">
        <v>35</v>
      </c>
      <c r="D41" s="11"/>
      <c r="E41" s="158"/>
      <c r="F41" s="164"/>
      <c r="G41" s="159"/>
      <c r="H41" s="164"/>
      <c r="I41" s="159"/>
      <c r="J41" s="164"/>
      <c r="K41" s="172"/>
      <c r="L41" s="164"/>
      <c r="M41" s="174"/>
      <c r="N41" s="174"/>
      <c r="O41" s="164"/>
      <c r="P41" s="173"/>
      <c r="Q41" s="173"/>
      <c r="R41" s="164"/>
      <c r="S41" s="158"/>
      <c r="T41" s="13"/>
    </row>
    <row r="42" spans="2:20" ht="15.6" x14ac:dyDescent="0.3">
      <c r="B42" s="10"/>
      <c r="C42" s="169">
        <v>36</v>
      </c>
      <c r="D42" s="11"/>
      <c r="E42" s="158"/>
      <c r="F42" s="164"/>
      <c r="G42" s="159"/>
      <c r="H42" s="164"/>
      <c r="I42" s="159"/>
      <c r="J42" s="164"/>
      <c r="K42" s="172"/>
      <c r="L42" s="164"/>
      <c r="M42" s="174"/>
      <c r="N42" s="174"/>
      <c r="O42" s="164"/>
      <c r="P42" s="173"/>
      <c r="Q42" s="173"/>
      <c r="R42" s="164"/>
      <c r="S42" s="158"/>
      <c r="T42" s="13"/>
    </row>
    <row r="43" spans="2:20" ht="15.6" x14ac:dyDescent="0.3">
      <c r="B43" s="10"/>
      <c r="C43" s="169">
        <v>37</v>
      </c>
      <c r="D43" s="11"/>
      <c r="E43" s="158"/>
      <c r="F43" s="164"/>
      <c r="G43" s="159"/>
      <c r="H43" s="164"/>
      <c r="I43" s="159"/>
      <c r="J43" s="164"/>
      <c r="K43" s="172"/>
      <c r="L43" s="164"/>
      <c r="M43" s="174"/>
      <c r="N43" s="174"/>
      <c r="O43" s="164"/>
      <c r="P43" s="173"/>
      <c r="Q43" s="173"/>
      <c r="R43" s="164"/>
      <c r="S43" s="158"/>
      <c r="T43" s="13"/>
    </row>
    <row r="44" spans="2:20" ht="15.6" x14ac:dyDescent="0.3">
      <c r="B44" s="10"/>
      <c r="C44" s="169">
        <v>38</v>
      </c>
      <c r="D44" s="11"/>
      <c r="E44" s="158"/>
      <c r="F44" s="164"/>
      <c r="G44" s="159"/>
      <c r="H44" s="164"/>
      <c r="I44" s="159"/>
      <c r="J44" s="164"/>
      <c r="K44" s="172"/>
      <c r="L44" s="164"/>
      <c r="M44" s="174"/>
      <c r="N44" s="174"/>
      <c r="O44" s="164"/>
      <c r="P44" s="173"/>
      <c r="Q44" s="173"/>
      <c r="R44" s="164"/>
      <c r="S44" s="158"/>
      <c r="T44" s="13"/>
    </row>
    <row r="45" spans="2:20" ht="15.6" x14ac:dyDescent="0.3">
      <c r="B45" s="10"/>
      <c r="C45" s="169">
        <v>39</v>
      </c>
      <c r="D45" s="11"/>
      <c r="E45" s="158"/>
      <c r="F45" s="164"/>
      <c r="G45" s="159"/>
      <c r="H45" s="164"/>
      <c r="I45" s="159"/>
      <c r="J45" s="164"/>
      <c r="K45" s="172"/>
      <c r="L45" s="164"/>
      <c r="M45" s="174"/>
      <c r="N45" s="174"/>
      <c r="O45" s="164"/>
      <c r="P45" s="173"/>
      <c r="Q45" s="173"/>
      <c r="R45" s="164"/>
      <c r="S45" s="158"/>
      <c r="T45" s="13"/>
    </row>
    <row r="46" spans="2:20" ht="15.6" x14ac:dyDescent="0.3">
      <c r="B46" s="10"/>
      <c r="C46" s="169">
        <v>40</v>
      </c>
      <c r="D46" s="11"/>
      <c r="E46" s="158"/>
      <c r="F46" s="164"/>
      <c r="G46" s="159"/>
      <c r="H46" s="164"/>
      <c r="I46" s="159"/>
      <c r="J46" s="164"/>
      <c r="K46" s="172"/>
      <c r="L46" s="164"/>
      <c r="M46" s="174"/>
      <c r="N46" s="174"/>
      <c r="O46" s="164"/>
      <c r="P46" s="173"/>
      <c r="Q46" s="173"/>
      <c r="R46" s="164"/>
      <c r="S46" s="158"/>
      <c r="T46" s="13"/>
    </row>
    <row r="47" spans="2:20" ht="15.6" x14ac:dyDescent="0.3">
      <c r="B47" s="10"/>
      <c r="C47" s="169">
        <v>41</v>
      </c>
      <c r="D47" s="11"/>
      <c r="E47" s="158"/>
      <c r="F47" s="164"/>
      <c r="G47" s="159"/>
      <c r="H47" s="164"/>
      <c r="I47" s="159"/>
      <c r="J47" s="164"/>
      <c r="K47" s="172"/>
      <c r="L47" s="164"/>
      <c r="M47" s="174"/>
      <c r="N47" s="174"/>
      <c r="O47" s="164"/>
      <c r="P47" s="173"/>
      <c r="Q47" s="173"/>
      <c r="R47" s="164"/>
      <c r="S47" s="158"/>
      <c r="T47" s="13"/>
    </row>
    <row r="48" spans="2:20" ht="15.6" x14ac:dyDescent="0.3">
      <c r="B48" s="10"/>
      <c r="C48" s="169">
        <v>42</v>
      </c>
      <c r="D48" s="11"/>
      <c r="E48" s="158"/>
      <c r="F48" s="164"/>
      <c r="G48" s="159"/>
      <c r="H48" s="164"/>
      <c r="I48" s="159"/>
      <c r="J48" s="164"/>
      <c r="K48" s="172"/>
      <c r="L48" s="164"/>
      <c r="M48" s="174"/>
      <c r="N48" s="174"/>
      <c r="O48" s="164"/>
      <c r="P48" s="173"/>
      <c r="Q48" s="173"/>
      <c r="R48" s="164"/>
      <c r="S48" s="158"/>
      <c r="T48" s="13"/>
    </row>
    <row r="49" spans="2:20" ht="15.6" x14ac:dyDescent="0.3">
      <c r="B49" s="10"/>
      <c r="C49" s="169">
        <v>43</v>
      </c>
      <c r="D49" s="11"/>
      <c r="E49" s="158"/>
      <c r="F49" s="164"/>
      <c r="G49" s="159"/>
      <c r="H49" s="164"/>
      <c r="I49" s="159"/>
      <c r="J49" s="164"/>
      <c r="K49" s="172"/>
      <c r="L49" s="164"/>
      <c r="M49" s="174"/>
      <c r="N49" s="174"/>
      <c r="O49" s="164"/>
      <c r="P49" s="173"/>
      <c r="Q49" s="173"/>
      <c r="R49" s="164"/>
      <c r="S49" s="158"/>
      <c r="T49" s="13"/>
    </row>
    <row r="50" spans="2:20" ht="15.6" x14ac:dyDescent="0.3">
      <c r="B50" s="10"/>
      <c r="C50" s="169">
        <v>44</v>
      </c>
      <c r="D50" s="11"/>
      <c r="E50" s="158"/>
      <c r="F50" s="164"/>
      <c r="G50" s="159"/>
      <c r="H50" s="164"/>
      <c r="I50" s="159"/>
      <c r="J50" s="164"/>
      <c r="K50" s="172"/>
      <c r="L50" s="164"/>
      <c r="M50" s="174"/>
      <c r="N50" s="174"/>
      <c r="O50" s="164"/>
      <c r="P50" s="173"/>
      <c r="Q50" s="173"/>
      <c r="R50" s="164"/>
      <c r="S50" s="158"/>
      <c r="T50" s="13"/>
    </row>
    <row r="51" spans="2:20" ht="15.6" x14ac:dyDescent="0.3">
      <c r="B51" s="10"/>
      <c r="C51" s="169">
        <v>45</v>
      </c>
      <c r="D51" s="11"/>
      <c r="E51" s="158"/>
      <c r="F51" s="164"/>
      <c r="G51" s="159"/>
      <c r="H51" s="164"/>
      <c r="I51" s="159"/>
      <c r="J51" s="164"/>
      <c r="K51" s="172"/>
      <c r="L51" s="164"/>
      <c r="M51" s="174"/>
      <c r="N51" s="174"/>
      <c r="O51" s="164"/>
      <c r="P51" s="173"/>
      <c r="Q51" s="173"/>
      <c r="R51" s="164"/>
      <c r="S51" s="158"/>
      <c r="T51" s="13"/>
    </row>
    <row r="52" spans="2:20" ht="15.6" x14ac:dyDescent="0.3">
      <c r="B52" s="10"/>
      <c r="C52" s="169">
        <v>46</v>
      </c>
      <c r="D52" s="11"/>
      <c r="E52" s="158"/>
      <c r="F52" s="164"/>
      <c r="G52" s="159"/>
      <c r="H52" s="164"/>
      <c r="I52" s="159"/>
      <c r="J52" s="164"/>
      <c r="K52" s="172"/>
      <c r="L52" s="164"/>
      <c r="M52" s="174"/>
      <c r="N52" s="174"/>
      <c r="O52" s="164"/>
      <c r="P52" s="173"/>
      <c r="Q52" s="173"/>
      <c r="R52" s="164"/>
      <c r="S52" s="158"/>
      <c r="T52" s="13"/>
    </row>
    <row r="53" spans="2:20" ht="15.6" x14ac:dyDescent="0.3">
      <c r="B53" s="10"/>
      <c r="C53" s="169">
        <v>47</v>
      </c>
      <c r="D53" s="11"/>
      <c r="E53" s="158"/>
      <c r="F53" s="164"/>
      <c r="G53" s="159"/>
      <c r="H53" s="164"/>
      <c r="I53" s="159"/>
      <c r="J53" s="164"/>
      <c r="K53" s="172"/>
      <c r="L53" s="164"/>
      <c r="M53" s="174"/>
      <c r="N53" s="174"/>
      <c r="O53" s="164"/>
      <c r="P53" s="173"/>
      <c r="Q53" s="173"/>
      <c r="R53" s="164"/>
      <c r="S53" s="158"/>
      <c r="T53" s="13"/>
    </row>
    <row r="54" spans="2:20" ht="15.6" x14ac:dyDescent="0.3">
      <c r="B54" s="10"/>
      <c r="C54" s="169">
        <v>48</v>
      </c>
      <c r="D54" s="11"/>
      <c r="E54" s="158"/>
      <c r="F54" s="164"/>
      <c r="G54" s="159"/>
      <c r="H54" s="164"/>
      <c r="I54" s="159"/>
      <c r="J54" s="164"/>
      <c r="K54" s="172"/>
      <c r="L54" s="164"/>
      <c r="M54" s="174"/>
      <c r="N54" s="174"/>
      <c r="O54" s="164"/>
      <c r="P54" s="173"/>
      <c r="Q54" s="173"/>
      <c r="R54" s="164"/>
      <c r="S54" s="158"/>
      <c r="T54" s="13"/>
    </row>
    <row r="55" spans="2:20" ht="15.6" x14ac:dyDescent="0.3">
      <c r="B55" s="10"/>
      <c r="C55" s="169">
        <v>49</v>
      </c>
      <c r="D55" s="11"/>
      <c r="E55" s="158"/>
      <c r="F55" s="164"/>
      <c r="G55" s="159"/>
      <c r="H55" s="164"/>
      <c r="I55" s="159"/>
      <c r="J55" s="164"/>
      <c r="K55" s="172"/>
      <c r="L55" s="164"/>
      <c r="M55" s="174"/>
      <c r="N55" s="174"/>
      <c r="O55" s="164"/>
      <c r="P55" s="173"/>
      <c r="Q55" s="173"/>
      <c r="R55" s="164"/>
      <c r="S55" s="158"/>
      <c r="T55" s="13"/>
    </row>
    <row r="56" spans="2:20" ht="15.6" x14ac:dyDescent="0.3">
      <c r="B56" s="10"/>
      <c r="C56" s="169">
        <v>50</v>
      </c>
      <c r="D56" s="11"/>
      <c r="E56" s="158"/>
      <c r="F56" s="164"/>
      <c r="G56" s="159"/>
      <c r="H56" s="164"/>
      <c r="I56" s="159"/>
      <c r="J56" s="164"/>
      <c r="K56" s="172"/>
      <c r="L56" s="164"/>
      <c r="M56" s="174"/>
      <c r="N56" s="174"/>
      <c r="O56" s="164"/>
      <c r="P56" s="173"/>
      <c r="Q56" s="173"/>
      <c r="R56" s="164"/>
      <c r="S56" s="158"/>
      <c r="T56" s="13"/>
    </row>
    <row r="57" spans="2:20" ht="15.6" x14ac:dyDescent="0.3">
      <c r="B57" s="10"/>
      <c r="C57" s="169">
        <v>51</v>
      </c>
      <c r="D57" s="11"/>
      <c r="E57" s="158"/>
      <c r="F57" s="164"/>
      <c r="G57" s="159"/>
      <c r="H57" s="164"/>
      <c r="I57" s="159"/>
      <c r="J57" s="164"/>
      <c r="K57" s="172"/>
      <c r="L57" s="164"/>
      <c r="M57" s="174"/>
      <c r="N57" s="174"/>
      <c r="O57" s="164"/>
      <c r="P57" s="173"/>
      <c r="Q57" s="173"/>
      <c r="R57" s="164"/>
      <c r="S57" s="158"/>
      <c r="T57" s="13"/>
    </row>
    <row r="58" spans="2:20" ht="15.6" x14ac:dyDescent="0.3">
      <c r="B58" s="10"/>
      <c r="C58" s="169">
        <v>52</v>
      </c>
      <c r="D58" s="11"/>
      <c r="E58" s="158"/>
      <c r="F58" s="164"/>
      <c r="G58" s="159"/>
      <c r="H58" s="164"/>
      <c r="I58" s="159"/>
      <c r="J58" s="164"/>
      <c r="K58" s="172"/>
      <c r="L58" s="164"/>
      <c r="M58" s="174"/>
      <c r="N58" s="174"/>
      <c r="O58" s="164"/>
      <c r="P58" s="173"/>
      <c r="Q58" s="173"/>
      <c r="R58" s="164"/>
      <c r="S58" s="158"/>
      <c r="T58" s="13"/>
    </row>
    <row r="59" spans="2:20" ht="15.6" x14ac:dyDescent="0.3">
      <c r="B59" s="10"/>
      <c r="C59" s="169">
        <v>53</v>
      </c>
      <c r="D59" s="11"/>
      <c r="E59" s="158"/>
      <c r="F59" s="164"/>
      <c r="G59" s="159"/>
      <c r="H59" s="164"/>
      <c r="I59" s="159"/>
      <c r="J59" s="164"/>
      <c r="K59" s="172"/>
      <c r="L59" s="164"/>
      <c r="M59" s="174"/>
      <c r="N59" s="174"/>
      <c r="O59" s="164"/>
      <c r="P59" s="173"/>
      <c r="Q59" s="173"/>
      <c r="R59" s="164"/>
      <c r="S59" s="158"/>
      <c r="T59" s="13"/>
    </row>
    <row r="60" spans="2:20" ht="15.6" x14ac:dyDescent="0.3">
      <c r="B60" s="10"/>
      <c r="C60" s="169">
        <v>54</v>
      </c>
      <c r="D60" s="11"/>
      <c r="E60" s="158"/>
      <c r="F60" s="164"/>
      <c r="G60" s="159"/>
      <c r="H60" s="164"/>
      <c r="I60" s="159"/>
      <c r="J60" s="164"/>
      <c r="K60" s="172"/>
      <c r="L60" s="164"/>
      <c r="M60" s="174"/>
      <c r="N60" s="174"/>
      <c r="O60" s="164"/>
      <c r="P60" s="173"/>
      <c r="Q60" s="173"/>
      <c r="R60" s="164"/>
      <c r="S60" s="158"/>
      <c r="T60" s="13"/>
    </row>
    <row r="61" spans="2:20" ht="15.6" x14ac:dyDescent="0.3">
      <c r="B61" s="10"/>
      <c r="C61" s="169">
        <v>55</v>
      </c>
      <c r="D61" s="11"/>
      <c r="E61" s="158"/>
      <c r="F61" s="164"/>
      <c r="G61" s="159"/>
      <c r="H61" s="164"/>
      <c r="I61" s="159"/>
      <c r="J61" s="164"/>
      <c r="K61" s="172"/>
      <c r="L61" s="164"/>
      <c r="M61" s="174"/>
      <c r="N61" s="174"/>
      <c r="O61" s="164"/>
      <c r="P61" s="173"/>
      <c r="Q61" s="173"/>
      <c r="R61" s="164"/>
      <c r="S61" s="158"/>
      <c r="T61" s="13"/>
    </row>
    <row r="62" spans="2:20" ht="15.6" x14ac:dyDescent="0.3">
      <c r="B62" s="10"/>
      <c r="C62" s="169">
        <v>56</v>
      </c>
      <c r="D62" s="11"/>
      <c r="E62" s="158"/>
      <c r="F62" s="164"/>
      <c r="G62" s="159"/>
      <c r="H62" s="164"/>
      <c r="I62" s="159"/>
      <c r="J62" s="164"/>
      <c r="K62" s="172"/>
      <c r="L62" s="164"/>
      <c r="M62" s="174"/>
      <c r="N62" s="174"/>
      <c r="O62" s="164"/>
      <c r="P62" s="173"/>
      <c r="Q62" s="173"/>
      <c r="R62" s="164"/>
      <c r="S62" s="158"/>
      <c r="T62" s="13"/>
    </row>
    <row r="63" spans="2:20" ht="15.6" x14ac:dyDescent="0.3">
      <c r="B63" s="10"/>
      <c r="C63" s="169">
        <v>57</v>
      </c>
      <c r="D63" s="11"/>
      <c r="E63" s="158"/>
      <c r="F63" s="164"/>
      <c r="G63" s="159"/>
      <c r="H63" s="164"/>
      <c r="I63" s="159"/>
      <c r="J63" s="164"/>
      <c r="K63" s="172"/>
      <c r="L63" s="164"/>
      <c r="M63" s="174"/>
      <c r="N63" s="174"/>
      <c r="O63" s="164"/>
      <c r="P63" s="173"/>
      <c r="Q63" s="173"/>
      <c r="R63" s="164"/>
      <c r="S63" s="158"/>
      <c r="T63" s="13"/>
    </row>
    <row r="64" spans="2:20" ht="15.6" x14ac:dyDescent="0.3">
      <c r="B64" s="10"/>
      <c r="C64" s="169">
        <v>58</v>
      </c>
      <c r="D64" s="11"/>
      <c r="E64" s="158"/>
      <c r="F64" s="164"/>
      <c r="G64" s="159"/>
      <c r="H64" s="164"/>
      <c r="I64" s="159"/>
      <c r="J64" s="164"/>
      <c r="K64" s="172"/>
      <c r="L64" s="164"/>
      <c r="M64" s="174"/>
      <c r="N64" s="174"/>
      <c r="O64" s="164"/>
      <c r="P64" s="173"/>
      <c r="Q64" s="173"/>
      <c r="R64" s="164"/>
      <c r="S64" s="158"/>
      <c r="T64" s="13"/>
    </row>
    <row r="65" spans="2:20" ht="15.6" x14ac:dyDescent="0.3">
      <c r="B65" s="10"/>
      <c r="C65" s="169">
        <v>59</v>
      </c>
      <c r="D65" s="11"/>
      <c r="E65" s="158"/>
      <c r="F65" s="164"/>
      <c r="G65" s="159"/>
      <c r="H65" s="164"/>
      <c r="I65" s="159"/>
      <c r="J65" s="164"/>
      <c r="K65" s="172"/>
      <c r="L65" s="164"/>
      <c r="M65" s="174"/>
      <c r="N65" s="174"/>
      <c r="O65" s="164"/>
      <c r="P65" s="173"/>
      <c r="Q65" s="173"/>
      <c r="R65" s="164"/>
      <c r="S65" s="158"/>
      <c r="T65" s="13"/>
    </row>
    <row r="66" spans="2:20" ht="15.6" x14ac:dyDescent="0.3">
      <c r="B66" s="10"/>
      <c r="C66" s="169">
        <v>60</v>
      </c>
      <c r="D66" s="11"/>
      <c r="E66" s="158"/>
      <c r="F66" s="164"/>
      <c r="G66" s="159"/>
      <c r="H66" s="164"/>
      <c r="I66" s="159"/>
      <c r="J66" s="164"/>
      <c r="K66" s="172"/>
      <c r="L66" s="164"/>
      <c r="M66" s="174"/>
      <c r="N66" s="174"/>
      <c r="O66" s="164"/>
      <c r="P66" s="173"/>
      <c r="Q66" s="173"/>
      <c r="R66" s="164"/>
      <c r="S66" s="158"/>
      <c r="T66" s="13"/>
    </row>
    <row r="67" spans="2:20" ht="15.6" x14ac:dyDescent="0.3">
      <c r="B67" s="10"/>
      <c r="C67" s="169">
        <v>61</v>
      </c>
      <c r="D67" s="11"/>
      <c r="E67" s="158"/>
      <c r="F67" s="164"/>
      <c r="G67" s="159"/>
      <c r="H67" s="164"/>
      <c r="I67" s="159"/>
      <c r="J67" s="164"/>
      <c r="K67" s="172"/>
      <c r="L67" s="164"/>
      <c r="M67" s="174"/>
      <c r="N67" s="174"/>
      <c r="O67" s="164"/>
      <c r="P67" s="173"/>
      <c r="Q67" s="173"/>
      <c r="R67" s="164"/>
      <c r="S67" s="158"/>
      <c r="T67" s="13"/>
    </row>
    <row r="68" spans="2:20" ht="15.6" x14ac:dyDescent="0.3">
      <c r="B68" s="10"/>
      <c r="C68" s="169">
        <v>62</v>
      </c>
      <c r="D68" s="11"/>
      <c r="E68" s="158"/>
      <c r="F68" s="164"/>
      <c r="G68" s="159"/>
      <c r="H68" s="164"/>
      <c r="I68" s="159"/>
      <c r="J68" s="164"/>
      <c r="K68" s="172"/>
      <c r="L68" s="164"/>
      <c r="M68" s="174"/>
      <c r="N68" s="174"/>
      <c r="O68" s="164"/>
      <c r="P68" s="173"/>
      <c r="Q68" s="173"/>
      <c r="R68" s="164"/>
      <c r="S68" s="158"/>
      <c r="T68" s="13"/>
    </row>
    <row r="69" spans="2:20" ht="15.6" x14ac:dyDescent="0.3">
      <c r="B69" s="10"/>
      <c r="C69" s="169">
        <v>63</v>
      </c>
      <c r="D69" s="11"/>
      <c r="E69" s="158"/>
      <c r="F69" s="164"/>
      <c r="G69" s="159"/>
      <c r="H69" s="164"/>
      <c r="I69" s="159"/>
      <c r="J69" s="164"/>
      <c r="K69" s="172"/>
      <c r="L69" s="164"/>
      <c r="M69" s="174"/>
      <c r="N69" s="174"/>
      <c r="O69" s="164"/>
      <c r="P69" s="173"/>
      <c r="Q69" s="173"/>
      <c r="R69" s="164"/>
      <c r="S69" s="158"/>
      <c r="T69" s="13"/>
    </row>
    <row r="70" spans="2:20" ht="15.6" x14ac:dyDescent="0.3">
      <c r="B70" s="10"/>
      <c r="C70" s="169">
        <v>64</v>
      </c>
      <c r="D70" s="11"/>
      <c r="E70" s="158"/>
      <c r="F70" s="164"/>
      <c r="G70" s="159"/>
      <c r="H70" s="164"/>
      <c r="I70" s="159"/>
      <c r="J70" s="164"/>
      <c r="K70" s="172"/>
      <c r="L70" s="164"/>
      <c r="M70" s="174"/>
      <c r="N70" s="174"/>
      <c r="O70" s="164"/>
      <c r="P70" s="173"/>
      <c r="Q70" s="173"/>
      <c r="R70" s="164"/>
      <c r="S70" s="158"/>
      <c r="T70" s="13"/>
    </row>
    <row r="71" spans="2:20" ht="15.6" x14ac:dyDescent="0.3">
      <c r="B71" s="10"/>
      <c r="C71" s="169">
        <v>65</v>
      </c>
      <c r="D71" s="11"/>
      <c r="E71" s="158"/>
      <c r="F71" s="164"/>
      <c r="G71" s="159"/>
      <c r="H71" s="164"/>
      <c r="I71" s="159"/>
      <c r="J71" s="164"/>
      <c r="K71" s="172"/>
      <c r="L71" s="164"/>
      <c r="M71" s="174"/>
      <c r="N71" s="174"/>
      <c r="O71" s="164"/>
      <c r="P71" s="173"/>
      <c r="Q71" s="173"/>
      <c r="R71" s="164"/>
      <c r="S71" s="158"/>
      <c r="T71" s="13"/>
    </row>
    <row r="72" spans="2:20" ht="15.6" x14ac:dyDescent="0.3">
      <c r="B72" s="10"/>
      <c r="C72" s="169">
        <v>66</v>
      </c>
      <c r="D72" s="11"/>
      <c r="E72" s="158"/>
      <c r="F72" s="164"/>
      <c r="G72" s="159"/>
      <c r="H72" s="164"/>
      <c r="I72" s="159"/>
      <c r="J72" s="164"/>
      <c r="K72" s="172"/>
      <c r="L72" s="164"/>
      <c r="M72" s="174"/>
      <c r="N72" s="174"/>
      <c r="O72" s="164"/>
      <c r="P72" s="173"/>
      <c r="Q72" s="173"/>
      <c r="R72" s="164"/>
      <c r="S72" s="158"/>
      <c r="T72" s="13"/>
    </row>
    <row r="73" spans="2:20" ht="15.6" x14ac:dyDescent="0.3">
      <c r="B73" s="10"/>
      <c r="C73" s="169">
        <v>67</v>
      </c>
      <c r="D73" s="11"/>
      <c r="E73" s="158"/>
      <c r="F73" s="164"/>
      <c r="G73" s="159"/>
      <c r="H73" s="164"/>
      <c r="I73" s="159"/>
      <c r="J73" s="164"/>
      <c r="K73" s="172"/>
      <c r="L73" s="164"/>
      <c r="M73" s="174"/>
      <c r="N73" s="174"/>
      <c r="O73" s="164"/>
      <c r="P73" s="173"/>
      <c r="Q73" s="173"/>
      <c r="R73" s="164"/>
      <c r="S73" s="158"/>
      <c r="T73" s="13"/>
    </row>
    <row r="74" spans="2:20" ht="15.6" x14ac:dyDescent="0.3">
      <c r="B74" s="10"/>
      <c r="C74" s="169">
        <v>68</v>
      </c>
      <c r="D74" s="11"/>
      <c r="E74" s="158"/>
      <c r="F74" s="164"/>
      <c r="G74" s="159"/>
      <c r="H74" s="164"/>
      <c r="I74" s="159"/>
      <c r="J74" s="164"/>
      <c r="K74" s="172"/>
      <c r="L74" s="164"/>
      <c r="M74" s="174"/>
      <c r="N74" s="174"/>
      <c r="O74" s="164"/>
      <c r="P74" s="173"/>
      <c r="Q74" s="173"/>
      <c r="R74" s="164"/>
      <c r="S74" s="158"/>
      <c r="T74" s="13"/>
    </row>
    <row r="75" spans="2:20" ht="15.6" x14ac:dyDescent="0.3">
      <c r="B75" s="10"/>
      <c r="C75" s="169">
        <v>69</v>
      </c>
      <c r="D75" s="11"/>
      <c r="E75" s="158"/>
      <c r="F75" s="164"/>
      <c r="G75" s="159"/>
      <c r="H75" s="164"/>
      <c r="I75" s="159"/>
      <c r="J75" s="164"/>
      <c r="K75" s="172"/>
      <c r="L75" s="164"/>
      <c r="M75" s="174"/>
      <c r="N75" s="174"/>
      <c r="O75" s="164"/>
      <c r="P75" s="173"/>
      <c r="Q75" s="173"/>
      <c r="R75" s="164"/>
      <c r="S75" s="158"/>
      <c r="T75" s="13"/>
    </row>
    <row r="76" spans="2:20" ht="15.6" x14ac:dyDescent="0.3">
      <c r="B76" s="10"/>
      <c r="C76" s="169">
        <v>70</v>
      </c>
      <c r="D76" s="11"/>
      <c r="E76" s="158"/>
      <c r="F76" s="164"/>
      <c r="G76" s="159"/>
      <c r="H76" s="164"/>
      <c r="I76" s="159"/>
      <c r="J76" s="164"/>
      <c r="K76" s="172"/>
      <c r="L76" s="164"/>
      <c r="M76" s="174"/>
      <c r="N76" s="174"/>
      <c r="O76" s="164"/>
      <c r="P76" s="173"/>
      <c r="Q76" s="173"/>
      <c r="R76" s="164"/>
      <c r="S76" s="158"/>
      <c r="T76" s="13"/>
    </row>
    <row r="77" spans="2:20" ht="15.6" x14ac:dyDescent="0.3">
      <c r="B77" s="10"/>
      <c r="C77" s="169">
        <v>71</v>
      </c>
      <c r="D77" s="11"/>
      <c r="E77" s="158"/>
      <c r="F77" s="164"/>
      <c r="G77" s="159"/>
      <c r="H77" s="164"/>
      <c r="I77" s="159"/>
      <c r="J77" s="164"/>
      <c r="K77" s="172"/>
      <c r="L77" s="164"/>
      <c r="M77" s="174"/>
      <c r="N77" s="174"/>
      <c r="O77" s="164"/>
      <c r="P77" s="173"/>
      <c r="Q77" s="173"/>
      <c r="R77" s="164"/>
      <c r="S77" s="158"/>
      <c r="T77" s="13"/>
    </row>
    <row r="78" spans="2:20" ht="15.6" x14ac:dyDescent="0.3">
      <c r="B78" s="10"/>
      <c r="C78" s="169">
        <v>72</v>
      </c>
      <c r="D78" s="11"/>
      <c r="E78" s="158"/>
      <c r="F78" s="164"/>
      <c r="G78" s="159"/>
      <c r="H78" s="164"/>
      <c r="I78" s="159"/>
      <c r="J78" s="164"/>
      <c r="K78" s="172"/>
      <c r="L78" s="164"/>
      <c r="M78" s="174"/>
      <c r="N78" s="174"/>
      <c r="O78" s="164"/>
      <c r="P78" s="173"/>
      <c r="Q78" s="173"/>
      <c r="R78" s="164"/>
      <c r="S78" s="158"/>
      <c r="T78" s="13"/>
    </row>
    <row r="79" spans="2:20" ht="15.6" x14ac:dyDescent="0.3">
      <c r="B79" s="10"/>
      <c r="C79" s="169">
        <v>73</v>
      </c>
      <c r="D79" s="11"/>
      <c r="E79" s="158"/>
      <c r="F79" s="164"/>
      <c r="G79" s="159"/>
      <c r="H79" s="164"/>
      <c r="I79" s="159"/>
      <c r="J79" s="164"/>
      <c r="K79" s="172"/>
      <c r="L79" s="164"/>
      <c r="M79" s="174"/>
      <c r="N79" s="174"/>
      <c r="O79" s="164"/>
      <c r="P79" s="173"/>
      <c r="Q79" s="173"/>
      <c r="R79" s="164"/>
      <c r="S79" s="158"/>
      <c r="T79" s="13"/>
    </row>
    <row r="80" spans="2:20" ht="15.6" x14ac:dyDescent="0.3">
      <c r="B80" s="10"/>
      <c r="C80" s="169">
        <v>74</v>
      </c>
      <c r="D80" s="11"/>
      <c r="E80" s="158"/>
      <c r="F80" s="164"/>
      <c r="G80" s="159"/>
      <c r="H80" s="164"/>
      <c r="I80" s="159"/>
      <c r="J80" s="164"/>
      <c r="K80" s="172"/>
      <c r="L80" s="164"/>
      <c r="M80" s="174"/>
      <c r="N80" s="174"/>
      <c r="O80" s="164"/>
      <c r="P80" s="173"/>
      <c r="Q80" s="173"/>
      <c r="R80" s="164"/>
      <c r="S80" s="158"/>
      <c r="T80" s="13"/>
    </row>
    <row r="81" spans="2:20" ht="15.6" x14ac:dyDescent="0.3">
      <c r="B81" s="10"/>
      <c r="C81" s="169">
        <v>75</v>
      </c>
      <c r="D81" s="11"/>
      <c r="E81" s="158"/>
      <c r="F81" s="164"/>
      <c r="G81" s="159"/>
      <c r="H81" s="164"/>
      <c r="I81" s="159"/>
      <c r="J81" s="164"/>
      <c r="K81" s="172"/>
      <c r="L81" s="164"/>
      <c r="M81" s="174"/>
      <c r="N81" s="174"/>
      <c r="O81" s="164"/>
      <c r="P81" s="173"/>
      <c r="Q81" s="173"/>
      <c r="R81" s="164"/>
      <c r="S81" s="158"/>
      <c r="T81" s="13"/>
    </row>
    <row r="82" spans="2:20" ht="15.6" x14ac:dyDescent="0.3">
      <c r="B82" s="10"/>
      <c r="C82" s="169">
        <v>76</v>
      </c>
      <c r="D82" s="11"/>
      <c r="E82" s="158"/>
      <c r="F82" s="164"/>
      <c r="G82" s="159"/>
      <c r="H82" s="164"/>
      <c r="I82" s="159"/>
      <c r="J82" s="164"/>
      <c r="K82" s="172"/>
      <c r="L82" s="164"/>
      <c r="M82" s="174"/>
      <c r="N82" s="174"/>
      <c r="O82" s="164"/>
      <c r="P82" s="173"/>
      <c r="Q82" s="173"/>
      <c r="R82" s="164"/>
      <c r="S82" s="158"/>
      <c r="T82" s="13"/>
    </row>
    <row r="83" spans="2:20" ht="15.6" x14ac:dyDescent="0.3">
      <c r="B83" s="10"/>
      <c r="C83" s="169">
        <v>77</v>
      </c>
      <c r="D83" s="11"/>
      <c r="E83" s="158"/>
      <c r="F83" s="164"/>
      <c r="G83" s="159"/>
      <c r="H83" s="164"/>
      <c r="I83" s="159"/>
      <c r="J83" s="164"/>
      <c r="K83" s="172"/>
      <c r="L83" s="164"/>
      <c r="M83" s="174"/>
      <c r="N83" s="174"/>
      <c r="O83" s="164"/>
      <c r="P83" s="173"/>
      <c r="Q83" s="173"/>
      <c r="R83" s="164"/>
      <c r="S83" s="158"/>
      <c r="T83" s="13"/>
    </row>
    <row r="84" spans="2:20" ht="15.6" x14ac:dyDescent="0.3">
      <c r="B84" s="10"/>
      <c r="C84" s="169">
        <v>78</v>
      </c>
      <c r="D84" s="11"/>
      <c r="E84" s="158"/>
      <c r="F84" s="164"/>
      <c r="G84" s="159"/>
      <c r="H84" s="164"/>
      <c r="I84" s="159"/>
      <c r="J84" s="164"/>
      <c r="K84" s="172"/>
      <c r="L84" s="164"/>
      <c r="M84" s="174"/>
      <c r="N84" s="174"/>
      <c r="O84" s="164"/>
      <c r="P84" s="173"/>
      <c r="Q84" s="173"/>
      <c r="R84" s="164"/>
      <c r="S84" s="158"/>
      <c r="T84" s="13"/>
    </row>
    <row r="85" spans="2:20" ht="15.6" x14ac:dyDescent="0.3">
      <c r="B85" s="10"/>
      <c r="C85" s="169">
        <v>79</v>
      </c>
      <c r="D85" s="11"/>
      <c r="E85" s="158"/>
      <c r="F85" s="164"/>
      <c r="G85" s="159"/>
      <c r="H85" s="164"/>
      <c r="I85" s="159"/>
      <c r="J85" s="164"/>
      <c r="K85" s="172"/>
      <c r="L85" s="164"/>
      <c r="M85" s="174"/>
      <c r="N85" s="174"/>
      <c r="O85" s="164"/>
      <c r="P85" s="173"/>
      <c r="Q85" s="173"/>
      <c r="R85" s="164"/>
      <c r="S85" s="158"/>
      <c r="T85" s="13"/>
    </row>
    <row r="86" spans="2:20" ht="15.6" x14ac:dyDescent="0.3">
      <c r="B86" s="10"/>
      <c r="C86" s="169">
        <v>80</v>
      </c>
      <c r="D86" s="11"/>
      <c r="E86" s="158"/>
      <c r="F86" s="164"/>
      <c r="G86" s="159"/>
      <c r="H86" s="164"/>
      <c r="I86" s="159"/>
      <c r="J86" s="164"/>
      <c r="K86" s="172"/>
      <c r="L86" s="164"/>
      <c r="M86" s="174"/>
      <c r="N86" s="174"/>
      <c r="O86" s="164"/>
      <c r="P86" s="173"/>
      <c r="Q86" s="173"/>
      <c r="R86" s="164"/>
      <c r="S86" s="158"/>
      <c r="T86" s="13"/>
    </row>
    <row r="87" spans="2:20" ht="15.6" x14ac:dyDescent="0.3">
      <c r="B87" s="10"/>
      <c r="C87" s="169">
        <v>81</v>
      </c>
      <c r="D87" s="11"/>
      <c r="E87" s="158"/>
      <c r="F87" s="164"/>
      <c r="G87" s="159"/>
      <c r="H87" s="164"/>
      <c r="I87" s="159"/>
      <c r="J87" s="164"/>
      <c r="K87" s="172"/>
      <c r="L87" s="164"/>
      <c r="M87" s="174"/>
      <c r="N87" s="174"/>
      <c r="O87" s="164"/>
      <c r="P87" s="173"/>
      <c r="Q87" s="173"/>
      <c r="R87" s="164"/>
      <c r="S87" s="158"/>
      <c r="T87" s="13"/>
    </row>
    <row r="88" spans="2:20" ht="15.6" x14ac:dyDescent="0.3">
      <c r="B88" s="10"/>
      <c r="C88" s="169">
        <v>82</v>
      </c>
      <c r="D88" s="11"/>
      <c r="E88" s="158"/>
      <c r="F88" s="164"/>
      <c r="G88" s="159"/>
      <c r="H88" s="164"/>
      <c r="I88" s="159"/>
      <c r="J88" s="164"/>
      <c r="K88" s="172"/>
      <c r="L88" s="164"/>
      <c r="M88" s="174"/>
      <c r="N88" s="174"/>
      <c r="O88" s="164"/>
      <c r="P88" s="173"/>
      <c r="Q88" s="173"/>
      <c r="R88" s="164"/>
      <c r="S88" s="158"/>
      <c r="T88" s="13"/>
    </row>
    <row r="89" spans="2:20" ht="15.6" x14ac:dyDescent="0.3">
      <c r="B89" s="10"/>
      <c r="C89" s="169">
        <v>83</v>
      </c>
      <c r="D89" s="11"/>
      <c r="E89" s="158"/>
      <c r="F89" s="164"/>
      <c r="G89" s="159"/>
      <c r="H89" s="164"/>
      <c r="I89" s="159"/>
      <c r="J89" s="164"/>
      <c r="K89" s="172"/>
      <c r="L89" s="164"/>
      <c r="M89" s="174"/>
      <c r="N89" s="174"/>
      <c r="O89" s="164"/>
      <c r="P89" s="173"/>
      <c r="Q89" s="173"/>
      <c r="R89" s="164"/>
      <c r="S89" s="158"/>
      <c r="T89" s="13"/>
    </row>
    <row r="90" spans="2:20" ht="15.6" x14ac:dyDescent="0.3">
      <c r="B90" s="10"/>
      <c r="C90" s="169">
        <v>84</v>
      </c>
      <c r="D90" s="11"/>
      <c r="E90" s="158"/>
      <c r="F90" s="164"/>
      <c r="G90" s="159"/>
      <c r="H90" s="164"/>
      <c r="I90" s="159"/>
      <c r="J90" s="164"/>
      <c r="K90" s="172"/>
      <c r="L90" s="164"/>
      <c r="M90" s="174"/>
      <c r="N90" s="174"/>
      <c r="O90" s="164"/>
      <c r="P90" s="173"/>
      <c r="Q90" s="173"/>
      <c r="R90" s="164"/>
      <c r="S90" s="158"/>
      <c r="T90" s="13"/>
    </row>
    <row r="91" spans="2:20" ht="15.6" x14ac:dyDescent="0.3">
      <c r="B91" s="10"/>
      <c r="C91" s="169">
        <v>85</v>
      </c>
      <c r="D91" s="11"/>
      <c r="E91" s="158"/>
      <c r="F91" s="164"/>
      <c r="G91" s="159"/>
      <c r="H91" s="164"/>
      <c r="I91" s="159"/>
      <c r="J91" s="164"/>
      <c r="K91" s="172"/>
      <c r="L91" s="164"/>
      <c r="M91" s="174"/>
      <c r="N91" s="174"/>
      <c r="O91" s="164"/>
      <c r="P91" s="173"/>
      <c r="Q91" s="173"/>
      <c r="R91" s="164"/>
      <c r="S91" s="158"/>
      <c r="T91" s="13"/>
    </row>
    <row r="92" spans="2:20" ht="15.6" x14ac:dyDescent="0.3">
      <c r="B92" s="10"/>
      <c r="C92" s="169">
        <v>86</v>
      </c>
      <c r="D92" s="11"/>
      <c r="E92" s="158"/>
      <c r="F92" s="164"/>
      <c r="G92" s="159"/>
      <c r="H92" s="164"/>
      <c r="I92" s="159"/>
      <c r="J92" s="164"/>
      <c r="K92" s="172"/>
      <c r="L92" s="164"/>
      <c r="M92" s="174"/>
      <c r="N92" s="174"/>
      <c r="O92" s="164"/>
      <c r="P92" s="173"/>
      <c r="Q92" s="173"/>
      <c r="R92" s="164"/>
      <c r="S92" s="158"/>
      <c r="T92" s="13"/>
    </row>
    <row r="93" spans="2:20" ht="15.6" x14ac:dyDescent="0.3">
      <c r="B93" s="10"/>
      <c r="C93" s="169">
        <v>87</v>
      </c>
      <c r="D93" s="11"/>
      <c r="E93" s="158"/>
      <c r="F93" s="164"/>
      <c r="G93" s="159"/>
      <c r="H93" s="164"/>
      <c r="I93" s="159"/>
      <c r="J93" s="164"/>
      <c r="K93" s="172"/>
      <c r="L93" s="164"/>
      <c r="M93" s="174"/>
      <c r="N93" s="174"/>
      <c r="O93" s="164"/>
      <c r="P93" s="173"/>
      <c r="Q93" s="173"/>
      <c r="R93" s="164"/>
      <c r="S93" s="158"/>
      <c r="T93" s="13"/>
    </row>
    <row r="94" spans="2:20" ht="15.6" x14ac:dyDescent="0.3">
      <c r="B94" s="10"/>
      <c r="C94" s="169">
        <v>88</v>
      </c>
      <c r="D94" s="11"/>
      <c r="E94" s="158"/>
      <c r="F94" s="164"/>
      <c r="G94" s="159"/>
      <c r="H94" s="164"/>
      <c r="I94" s="159"/>
      <c r="J94" s="164"/>
      <c r="K94" s="172"/>
      <c r="L94" s="164"/>
      <c r="M94" s="174"/>
      <c r="N94" s="174"/>
      <c r="O94" s="164"/>
      <c r="P94" s="173"/>
      <c r="Q94" s="173"/>
      <c r="R94" s="164"/>
      <c r="S94" s="158"/>
      <c r="T94" s="13"/>
    </row>
    <row r="95" spans="2:20" ht="15.6" x14ac:dyDescent="0.3">
      <c r="B95" s="10"/>
      <c r="C95" s="169">
        <v>89</v>
      </c>
      <c r="D95" s="11"/>
      <c r="E95" s="158"/>
      <c r="F95" s="164"/>
      <c r="G95" s="159"/>
      <c r="H95" s="164"/>
      <c r="I95" s="159"/>
      <c r="J95" s="164"/>
      <c r="K95" s="172"/>
      <c r="L95" s="164"/>
      <c r="M95" s="174"/>
      <c r="N95" s="174"/>
      <c r="O95" s="164"/>
      <c r="P95" s="173"/>
      <c r="Q95" s="173"/>
      <c r="R95" s="164"/>
      <c r="S95" s="158"/>
      <c r="T95" s="13"/>
    </row>
    <row r="96" spans="2:20" ht="15.6" x14ac:dyDescent="0.3">
      <c r="B96" s="10"/>
      <c r="C96" s="169">
        <v>90</v>
      </c>
      <c r="D96" s="11"/>
      <c r="E96" s="158"/>
      <c r="F96" s="164"/>
      <c r="G96" s="159"/>
      <c r="H96" s="164"/>
      <c r="I96" s="159"/>
      <c r="J96" s="164"/>
      <c r="K96" s="172"/>
      <c r="L96" s="164"/>
      <c r="M96" s="174"/>
      <c r="N96" s="174"/>
      <c r="O96" s="164"/>
      <c r="P96" s="173"/>
      <c r="Q96" s="173"/>
      <c r="R96" s="164"/>
      <c r="S96" s="158"/>
      <c r="T96" s="13"/>
    </row>
    <row r="97" spans="2:20" ht="15.6" x14ac:dyDescent="0.3">
      <c r="B97" s="10"/>
      <c r="C97" s="169">
        <v>91</v>
      </c>
      <c r="D97" s="11"/>
      <c r="E97" s="158"/>
      <c r="F97" s="164"/>
      <c r="G97" s="159"/>
      <c r="H97" s="164"/>
      <c r="I97" s="159"/>
      <c r="J97" s="164"/>
      <c r="K97" s="172"/>
      <c r="L97" s="164"/>
      <c r="M97" s="174"/>
      <c r="N97" s="174"/>
      <c r="O97" s="164"/>
      <c r="P97" s="173"/>
      <c r="Q97" s="173"/>
      <c r="R97" s="164"/>
      <c r="S97" s="158"/>
      <c r="T97" s="13"/>
    </row>
    <row r="98" spans="2:20" ht="15.6" x14ac:dyDescent="0.3">
      <c r="B98" s="10"/>
      <c r="C98" s="169">
        <v>92</v>
      </c>
      <c r="D98" s="11"/>
      <c r="E98" s="158"/>
      <c r="F98" s="164"/>
      <c r="G98" s="159"/>
      <c r="H98" s="164"/>
      <c r="I98" s="159"/>
      <c r="J98" s="164"/>
      <c r="K98" s="172"/>
      <c r="L98" s="164"/>
      <c r="M98" s="174"/>
      <c r="N98" s="174"/>
      <c r="O98" s="164"/>
      <c r="P98" s="173"/>
      <c r="Q98" s="173"/>
      <c r="R98" s="164"/>
      <c r="S98" s="158"/>
      <c r="T98" s="13"/>
    </row>
    <row r="99" spans="2:20" ht="15.6" x14ac:dyDescent="0.3">
      <c r="B99" s="10"/>
      <c r="C99" s="169">
        <v>93</v>
      </c>
      <c r="D99" s="11"/>
      <c r="E99" s="158"/>
      <c r="F99" s="164"/>
      <c r="G99" s="159"/>
      <c r="H99" s="164"/>
      <c r="I99" s="159"/>
      <c r="J99" s="164"/>
      <c r="K99" s="172"/>
      <c r="L99" s="164"/>
      <c r="M99" s="174"/>
      <c r="N99" s="174"/>
      <c r="O99" s="164"/>
      <c r="P99" s="173"/>
      <c r="Q99" s="173"/>
      <c r="R99" s="164"/>
      <c r="S99" s="158"/>
      <c r="T99" s="13"/>
    </row>
    <row r="100" spans="2:20" ht="15.6" x14ac:dyDescent="0.3">
      <c r="B100" s="10"/>
      <c r="C100" s="169">
        <v>94</v>
      </c>
      <c r="D100" s="11"/>
      <c r="E100" s="158"/>
      <c r="F100" s="164"/>
      <c r="G100" s="159"/>
      <c r="H100" s="164"/>
      <c r="I100" s="159"/>
      <c r="J100" s="164"/>
      <c r="K100" s="172"/>
      <c r="L100" s="164"/>
      <c r="M100" s="174"/>
      <c r="N100" s="174"/>
      <c r="O100" s="164"/>
      <c r="P100" s="173"/>
      <c r="Q100" s="173"/>
      <c r="R100" s="164"/>
      <c r="S100" s="158"/>
      <c r="T100" s="13"/>
    </row>
    <row r="101" spans="2:20" ht="15.6" x14ac:dyDescent="0.3">
      <c r="B101" s="10"/>
      <c r="C101" s="169">
        <v>95</v>
      </c>
      <c r="D101" s="11"/>
      <c r="E101" s="158"/>
      <c r="F101" s="164"/>
      <c r="G101" s="159"/>
      <c r="H101" s="164"/>
      <c r="I101" s="159"/>
      <c r="J101" s="164"/>
      <c r="K101" s="172"/>
      <c r="L101" s="164"/>
      <c r="M101" s="174"/>
      <c r="N101" s="174"/>
      <c r="O101" s="164"/>
      <c r="P101" s="173"/>
      <c r="Q101" s="173"/>
      <c r="R101" s="164"/>
      <c r="S101" s="158"/>
      <c r="T101" s="13"/>
    </row>
    <row r="102" spans="2:20" ht="15.6" x14ac:dyDescent="0.3">
      <c r="B102" s="10"/>
      <c r="C102" s="169">
        <v>96</v>
      </c>
      <c r="D102" s="11"/>
      <c r="E102" s="158"/>
      <c r="F102" s="164"/>
      <c r="G102" s="159"/>
      <c r="H102" s="164"/>
      <c r="I102" s="159"/>
      <c r="J102" s="164"/>
      <c r="K102" s="172"/>
      <c r="L102" s="164"/>
      <c r="M102" s="174"/>
      <c r="N102" s="174"/>
      <c r="O102" s="164"/>
      <c r="P102" s="173"/>
      <c r="Q102" s="173"/>
      <c r="R102" s="164"/>
      <c r="S102" s="158"/>
      <c r="T102" s="13"/>
    </row>
    <row r="103" spans="2:20" ht="15.6" x14ac:dyDescent="0.3">
      <c r="B103" s="10"/>
      <c r="C103" s="169">
        <v>97</v>
      </c>
      <c r="D103" s="11"/>
      <c r="E103" s="158"/>
      <c r="F103" s="164"/>
      <c r="G103" s="159"/>
      <c r="H103" s="164"/>
      <c r="I103" s="159"/>
      <c r="J103" s="164"/>
      <c r="K103" s="172"/>
      <c r="L103" s="164"/>
      <c r="M103" s="174"/>
      <c r="N103" s="174"/>
      <c r="O103" s="164"/>
      <c r="P103" s="173"/>
      <c r="Q103" s="173"/>
      <c r="R103" s="164"/>
      <c r="S103" s="158"/>
      <c r="T103" s="13"/>
    </row>
    <row r="104" spans="2:20" ht="15.6" x14ac:dyDescent="0.3">
      <c r="B104" s="10"/>
      <c r="C104" s="169">
        <v>98</v>
      </c>
      <c r="D104" s="11"/>
      <c r="E104" s="158"/>
      <c r="F104" s="164"/>
      <c r="G104" s="159"/>
      <c r="H104" s="164"/>
      <c r="I104" s="159"/>
      <c r="J104" s="164"/>
      <c r="K104" s="172"/>
      <c r="L104" s="164"/>
      <c r="M104" s="174"/>
      <c r="N104" s="174"/>
      <c r="O104" s="164"/>
      <c r="P104" s="173"/>
      <c r="Q104" s="173"/>
      <c r="R104" s="164"/>
      <c r="S104" s="158"/>
      <c r="T104" s="13"/>
    </row>
    <row r="105" spans="2:20" ht="15.6" x14ac:dyDescent="0.3">
      <c r="B105" s="10"/>
      <c r="C105" s="169">
        <v>99</v>
      </c>
      <c r="D105" s="11"/>
      <c r="E105" s="158"/>
      <c r="F105" s="164"/>
      <c r="G105" s="159"/>
      <c r="H105" s="164"/>
      <c r="I105" s="159"/>
      <c r="J105" s="164"/>
      <c r="K105" s="172"/>
      <c r="L105" s="164"/>
      <c r="M105" s="174"/>
      <c r="N105" s="174"/>
      <c r="O105" s="164"/>
      <c r="P105" s="173"/>
      <c r="Q105" s="173"/>
      <c r="R105" s="164"/>
      <c r="S105" s="158"/>
      <c r="T105" s="13"/>
    </row>
    <row r="106" spans="2:20" ht="15.6" x14ac:dyDescent="0.3">
      <c r="B106" s="10"/>
      <c r="C106" s="169">
        <v>100</v>
      </c>
      <c r="D106" s="11"/>
      <c r="E106" s="158"/>
      <c r="F106" s="164"/>
      <c r="G106" s="159"/>
      <c r="H106" s="164"/>
      <c r="I106" s="159"/>
      <c r="J106" s="164"/>
      <c r="K106" s="172"/>
      <c r="L106" s="164"/>
      <c r="M106" s="174"/>
      <c r="N106" s="174"/>
      <c r="O106" s="164"/>
      <c r="P106" s="173"/>
      <c r="Q106" s="173"/>
      <c r="R106" s="164"/>
      <c r="S106" s="158"/>
      <c r="T106" s="13"/>
    </row>
    <row r="107" spans="2:20" x14ac:dyDescent="0.3"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3"/>
    </row>
    <row r="108" spans="2:20" ht="15" thickBot="1" x14ac:dyDescent="0.35"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8"/>
    </row>
  </sheetData>
  <sheetProtection algorithmName="SHA-512" hashValue="Z/mFySJ0mRbB3Xlvpt6El9+OnUvCtzETyNqaWqqxEeHh/JZ1l0f+4ppbFf7S+Z+CNj8U8GFmz8IvrUDUSfNd+A==" saltValue="AeI/td4bealSeBPNRdMWyA==" spinCount="100000" sheet="1" objects="1" scenarios="1" selectLockedCells="1" autoFilter="0" pivotTables="0"/>
  <autoFilter ref="E6:S106"/>
  <mergeCells count="5">
    <mergeCell ref="G3:I3"/>
    <mergeCell ref="M4:N4"/>
    <mergeCell ref="P4:Q4"/>
    <mergeCell ref="M3:N3"/>
    <mergeCell ref="P3:Q3"/>
  </mergeCells>
  <printOptions horizontalCentered="1" verticalCentered="1"/>
  <pageMargins left="0" right="0" top="0" bottom="0" header="0.31496062992125984" footer="0.31496062992125984"/>
  <pageSetup paperSize="9" scale="4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4:F15"/>
  <sheetViews>
    <sheetView showGridLines="0" workbookViewId="0">
      <selection activeCell="D34" sqref="D34"/>
    </sheetView>
  </sheetViews>
  <sheetFormatPr defaultRowHeight="14.4" x14ac:dyDescent="0.3"/>
  <cols>
    <col min="1" max="1" width="3.33203125" style="182" customWidth="1"/>
    <col min="2" max="2" width="19.44140625" style="182" customWidth="1"/>
    <col min="3" max="6" width="20.77734375" style="182" customWidth="1"/>
    <col min="7" max="7" width="10" style="182" customWidth="1"/>
    <col min="8" max="8" width="26.88671875" style="182" customWidth="1"/>
    <col min="9" max="9" width="13.77734375" style="182" customWidth="1"/>
    <col min="10" max="10" width="26.88671875" style="182" customWidth="1"/>
    <col min="11" max="11" width="18.5546875" style="182" bestFit="1" customWidth="1"/>
    <col min="12" max="12" width="31.6640625" style="182" bestFit="1" customWidth="1"/>
    <col min="13" max="16384" width="8.88671875" style="182"/>
  </cols>
  <sheetData>
    <row r="4" spans="2:6" s="183" customFormat="1" ht="19.2" customHeight="1" x14ac:dyDescent="0.3">
      <c r="B4" s="177" t="s">
        <v>16</v>
      </c>
      <c r="C4" s="178" t="s">
        <v>104</v>
      </c>
    </row>
    <row r="5" spans="2:6" s="183" customFormat="1" ht="19.2" customHeight="1" x14ac:dyDescent="0.3">
      <c r="B5" s="177" t="s">
        <v>56</v>
      </c>
      <c r="C5" s="178" t="s">
        <v>104</v>
      </c>
    </row>
    <row r="6" spans="2:6" s="183" customFormat="1" ht="19.2" customHeight="1" thickBot="1" x14ac:dyDescent="0.35">
      <c r="B6" s="177" t="s">
        <v>17</v>
      </c>
      <c r="C6" s="178" t="s">
        <v>105</v>
      </c>
    </row>
    <row r="8" spans="2:6" ht="28.8" x14ac:dyDescent="0.3">
      <c r="B8" s="180" t="s">
        <v>99</v>
      </c>
      <c r="C8" s="176" t="s">
        <v>106</v>
      </c>
      <c r="D8" s="176" t="s">
        <v>107</v>
      </c>
      <c r="E8" s="176" t="s">
        <v>108</v>
      </c>
      <c r="F8" s="176" t="s">
        <v>109</v>
      </c>
    </row>
    <row r="9" spans="2:6" s="183" customFormat="1" x14ac:dyDescent="0.3">
      <c r="B9" s="184" t="s">
        <v>82</v>
      </c>
      <c r="C9" s="179">
        <v>7</v>
      </c>
      <c r="D9" s="179">
        <v>9</v>
      </c>
      <c r="E9" s="179">
        <v>6</v>
      </c>
      <c r="F9" s="179">
        <v>8</v>
      </c>
    </row>
    <row r="10" spans="2:6" s="183" customFormat="1" x14ac:dyDescent="0.3">
      <c r="B10" s="184" t="s">
        <v>77</v>
      </c>
      <c r="C10" s="179">
        <v>5</v>
      </c>
      <c r="D10" s="179">
        <v>6</v>
      </c>
      <c r="E10" s="179">
        <v>4</v>
      </c>
      <c r="F10" s="179">
        <v>5</v>
      </c>
    </row>
    <row r="11" spans="2:6" s="183" customFormat="1" x14ac:dyDescent="0.3">
      <c r="B11" s="184" t="s">
        <v>78</v>
      </c>
      <c r="C11" s="179">
        <v>7</v>
      </c>
      <c r="D11" s="179">
        <v>8</v>
      </c>
      <c r="E11" s="179">
        <v>5</v>
      </c>
      <c r="F11" s="179">
        <v>6</v>
      </c>
    </row>
    <row r="12" spans="2:6" s="183" customFormat="1" x14ac:dyDescent="0.3">
      <c r="B12" s="184" t="s">
        <v>79</v>
      </c>
      <c r="C12" s="179">
        <v>8</v>
      </c>
      <c r="D12" s="179">
        <v>10</v>
      </c>
      <c r="E12" s="179">
        <v>6</v>
      </c>
      <c r="F12" s="179">
        <v>8</v>
      </c>
    </row>
    <row r="13" spans="2:6" s="183" customFormat="1" x14ac:dyDescent="0.3">
      <c r="B13" s="184" t="s">
        <v>80</v>
      </c>
      <c r="C13" s="179">
        <v>11</v>
      </c>
      <c r="D13" s="179">
        <v>14</v>
      </c>
      <c r="E13" s="179">
        <v>9</v>
      </c>
      <c r="F13" s="179">
        <v>11</v>
      </c>
    </row>
    <row r="14" spans="2:6" s="183" customFormat="1" x14ac:dyDescent="0.3">
      <c r="B14" s="184" t="s">
        <v>81</v>
      </c>
      <c r="C14" s="179">
        <v>8</v>
      </c>
      <c r="D14" s="179">
        <v>9</v>
      </c>
      <c r="E14" s="179">
        <v>6</v>
      </c>
      <c r="F14" s="179">
        <v>7</v>
      </c>
    </row>
    <row r="15" spans="2:6" ht="18" x14ac:dyDescent="0.3">
      <c r="B15" s="180" t="s">
        <v>100</v>
      </c>
      <c r="C15" s="181">
        <v>7.666666666666667</v>
      </c>
      <c r="D15" s="181">
        <v>9.3333333333333339</v>
      </c>
      <c r="E15" s="181">
        <v>6</v>
      </c>
      <c r="F15" s="181">
        <v>7.5</v>
      </c>
    </row>
  </sheetData>
  <sheetProtection algorithmName="SHA-512" hashValue="hIXI+VKOhhHVq3tjEseju1BFCTHocT232L19EJL1BOHmzTHjiH2MVUGm440u3VB8KmB8Bu+d3avHna5I+Vx47w==" saltValue="/g1hzQCIuMGRJTUeiTJjqA==" spinCount="100000" sheet="1" objects="1" scenarios="1" formatColumns="0" formatRows="0" autoFilter="0" pivotTables="0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7"/>
  <sheetViews>
    <sheetView showGridLines="0" topLeftCell="A5" zoomScale="80" zoomScaleNormal="80" workbookViewId="0">
      <selection activeCell="C5" sqref="C5:L105"/>
    </sheetView>
  </sheetViews>
  <sheetFormatPr defaultRowHeight="14.4" x14ac:dyDescent="0.3"/>
  <cols>
    <col min="1" max="1" width="2.21875" customWidth="1"/>
    <col min="2" max="2" width="2.5546875" customWidth="1"/>
    <col min="3" max="3" width="8.5546875" customWidth="1"/>
    <col min="5" max="5" width="31.44140625" customWidth="1"/>
    <col min="6" max="6" width="18.5546875" customWidth="1"/>
    <col min="7" max="7" width="22.21875" customWidth="1"/>
    <col min="8" max="11" width="10.77734375" customWidth="1"/>
    <col min="12" max="12" width="38.44140625" customWidth="1"/>
    <col min="13" max="13" width="2.5546875" customWidth="1"/>
  </cols>
  <sheetData>
    <row r="1" spans="2:13" ht="15" thickBot="1" x14ac:dyDescent="0.35"/>
    <row r="2" spans="2:13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2:13" ht="48" customHeight="1" x14ac:dyDescent="0.35">
      <c r="B3" s="10"/>
      <c r="C3" s="11"/>
      <c r="E3" s="266" t="s">
        <v>94</v>
      </c>
      <c r="F3" s="268"/>
      <c r="H3" s="250" t="s">
        <v>91</v>
      </c>
      <c r="I3" s="250"/>
      <c r="J3" s="250" t="s">
        <v>76</v>
      </c>
      <c r="K3" s="250"/>
      <c r="L3" s="11"/>
      <c r="M3" s="13"/>
    </row>
    <row r="4" spans="2:13" ht="14.4" customHeight="1" x14ac:dyDescent="0.3">
      <c r="B4" s="10"/>
      <c r="C4" s="11"/>
      <c r="D4" s="11"/>
      <c r="E4" s="11"/>
      <c r="F4" s="11"/>
      <c r="G4" s="11"/>
      <c r="H4" s="269" t="s">
        <v>92</v>
      </c>
      <c r="I4" s="270"/>
      <c r="J4" s="269" t="s">
        <v>92</v>
      </c>
      <c r="K4" s="270"/>
      <c r="L4" s="11"/>
      <c r="M4" s="13"/>
    </row>
    <row r="5" spans="2:13" s="171" customFormat="1" ht="32.4" customHeight="1" x14ac:dyDescent="0.3">
      <c r="B5" s="14"/>
      <c r="C5" s="15"/>
      <c r="D5" s="170" t="str">
        <f>'BASE DE DADOS'!E5</f>
        <v>ANO</v>
      </c>
      <c r="E5" s="170" t="str">
        <f>'BASE DE DADOS'!G5</f>
        <v>MODELO</v>
      </c>
      <c r="F5" s="170" t="str">
        <f>'BASE DE DADOS'!I5</f>
        <v>MONTADORA</v>
      </c>
      <c r="G5" s="170" t="str">
        <f>'BASE DE DADOS'!K5</f>
        <v>VALOR DE MERCADO</v>
      </c>
      <c r="H5" s="175" t="str">
        <f>'BASE DE DADOS'!M5</f>
        <v>CIDADE
 Gasolina</v>
      </c>
      <c r="I5" s="175" t="str">
        <f>'BASE DE DADOS'!N5</f>
        <v>ESTRADA
Gasolina</v>
      </c>
      <c r="J5" s="175" t="str">
        <f>'BASE DE DADOS'!P5</f>
        <v>CIDADE
 Etanol</v>
      </c>
      <c r="K5" s="175" t="str">
        <f>'BASE DE DADOS'!Q5</f>
        <v>ESTRADA
 Etanol</v>
      </c>
      <c r="L5" s="170" t="str">
        <f>'BASE DE DADOS'!S5</f>
        <v>OBSERVAÇÕES</v>
      </c>
      <c r="M5" s="19"/>
    </row>
    <row r="6" spans="2:13" ht="15.6" x14ac:dyDescent="0.3">
      <c r="B6" s="10"/>
      <c r="C6" s="169">
        <v>1</v>
      </c>
      <c r="D6" s="158">
        <f>'BASE DE DADOS'!E7</f>
        <v>2008</v>
      </c>
      <c r="E6" s="159" t="str">
        <f>'BASE DE DADOS'!G7</f>
        <v>VELHO-ECONOM</v>
      </c>
      <c r="F6" s="159" t="str">
        <f>'BASE DE DADOS'!I7</f>
        <v>LUIZ</v>
      </c>
      <c r="G6" s="172">
        <f>'BASE DE DADOS'!K7</f>
        <v>5000</v>
      </c>
      <c r="H6" s="174">
        <f>'BASE DE DADOS'!M7</f>
        <v>7</v>
      </c>
      <c r="I6" s="174">
        <f>'BASE DE DADOS'!N7</f>
        <v>9</v>
      </c>
      <c r="J6" s="173">
        <f>'BASE DE DADOS'!P7</f>
        <v>6</v>
      </c>
      <c r="K6" s="173">
        <f>'BASE DE DADOS'!Q7</f>
        <v>8</v>
      </c>
      <c r="L6" s="158">
        <f>'BASE DE DADOS'!S7</f>
        <v>0</v>
      </c>
      <c r="M6" s="13"/>
    </row>
    <row r="7" spans="2:13" ht="15.6" x14ac:dyDescent="0.3">
      <c r="B7" s="10"/>
      <c r="C7" s="169">
        <v>2</v>
      </c>
      <c r="D7" s="158">
        <f>'BASE DE DADOS'!E8</f>
        <v>2007</v>
      </c>
      <c r="E7" s="159" t="str">
        <f>'BASE DE DADOS'!G8</f>
        <v>VELHO-GASTÃO</v>
      </c>
      <c r="F7" s="159" t="str">
        <f>'BASE DE DADOS'!I8</f>
        <v>LUIZ</v>
      </c>
      <c r="G7" s="172">
        <f>'BASE DE DADOS'!K8</f>
        <v>7000</v>
      </c>
      <c r="H7" s="174">
        <f>'BASE DE DADOS'!M8</f>
        <v>5</v>
      </c>
      <c r="I7" s="174">
        <f>'BASE DE DADOS'!N8</f>
        <v>6</v>
      </c>
      <c r="J7" s="173">
        <f>'BASE DE DADOS'!P8</f>
        <v>4</v>
      </c>
      <c r="K7" s="173">
        <f>'BASE DE DADOS'!Q8</f>
        <v>5</v>
      </c>
      <c r="L7" s="158">
        <f>'BASE DE DADOS'!S8</f>
        <v>0</v>
      </c>
      <c r="M7" s="13"/>
    </row>
    <row r="8" spans="2:13" ht="15.6" x14ac:dyDescent="0.3">
      <c r="B8" s="10"/>
      <c r="C8" s="169">
        <v>3</v>
      </c>
      <c r="D8" s="158">
        <f>'BASE DE DADOS'!E9</f>
        <v>2012</v>
      </c>
      <c r="E8" s="159" t="str">
        <f>'BASE DE DADOS'!G9</f>
        <v>SEMI-ECONOM</v>
      </c>
      <c r="F8" s="159" t="str">
        <f>'BASE DE DADOS'!I9</f>
        <v>IZIDORO</v>
      </c>
      <c r="G8" s="172">
        <f>'BASE DE DADOS'!K9</f>
        <v>13000</v>
      </c>
      <c r="H8" s="174">
        <f>'BASE DE DADOS'!M9</f>
        <v>7</v>
      </c>
      <c r="I8" s="174">
        <f>'BASE DE DADOS'!N9</f>
        <v>8</v>
      </c>
      <c r="J8" s="173">
        <f>'BASE DE DADOS'!P9</f>
        <v>5</v>
      </c>
      <c r="K8" s="173">
        <f>'BASE DE DADOS'!Q9</f>
        <v>6</v>
      </c>
      <c r="L8" s="158">
        <f>'BASE DE DADOS'!S9</f>
        <v>0</v>
      </c>
      <c r="M8" s="13"/>
    </row>
    <row r="9" spans="2:13" ht="15.6" x14ac:dyDescent="0.3">
      <c r="B9" s="10"/>
      <c r="C9" s="169">
        <v>4</v>
      </c>
      <c r="D9" s="158">
        <f>'BASE DE DADOS'!E10</f>
        <v>2013</v>
      </c>
      <c r="E9" s="159" t="str">
        <f>'BASE DE DADOS'!G10</f>
        <v>SEMI-GASTÃO</v>
      </c>
      <c r="F9" s="159" t="str">
        <f>'BASE DE DADOS'!I10</f>
        <v>IZIDORO</v>
      </c>
      <c r="G9" s="172">
        <f>'BASE DE DADOS'!K10</f>
        <v>14000</v>
      </c>
      <c r="H9" s="174">
        <f>'BASE DE DADOS'!M10</f>
        <v>8</v>
      </c>
      <c r="I9" s="174">
        <f>'BASE DE DADOS'!N10</f>
        <v>10</v>
      </c>
      <c r="J9" s="173">
        <f>'BASE DE DADOS'!P10</f>
        <v>6</v>
      </c>
      <c r="K9" s="173">
        <f>'BASE DE DADOS'!Q10</f>
        <v>8</v>
      </c>
      <c r="L9" s="158">
        <f>'BASE DE DADOS'!S10</f>
        <v>0</v>
      </c>
      <c r="M9" s="13"/>
    </row>
    <row r="10" spans="2:13" ht="15.6" x14ac:dyDescent="0.3">
      <c r="B10" s="10"/>
      <c r="C10" s="169">
        <v>5</v>
      </c>
      <c r="D10" s="158">
        <f>'BASE DE DADOS'!E11</f>
        <v>2020</v>
      </c>
      <c r="E10" s="159" t="str">
        <f>'BASE DE DADOS'!G11</f>
        <v>NOVO-ECONOMI</v>
      </c>
      <c r="F10" s="159" t="str">
        <f>'BASE DE DADOS'!I11</f>
        <v>PROFESSOR</v>
      </c>
      <c r="G10" s="172">
        <f>'BASE DE DADOS'!K11</f>
        <v>32000</v>
      </c>
      <c r="H10" s="174">
        <f>'BASE DE DADOS'!M11</f>
        <v>11</v>
      </c>
      <c r="I10" s="174">
        <f>'BASE DE DADOS'!N11</f>
        <v>14</v>
      </c>
      <c r="J10" s="173">
        <f>'BASE DE DADOS'!P11</f>
        <v>9</v>
      </c>
      <c r="K10" s="173">
        <f>'BASE DE DADOS'!Q11</f>
        <v>11</v>
      </c>
      <c r="L10" s="158">
        <f>'BASE DE DADOS'!S11</f>
        <v>0</v>
      </c>
      <c r="M10" s="13"/>
    </row>
    <row r="11" spans="2:13" ht="15.6" x14ac:dyDescent="0.3">
      <c r="B11" s="10"/>
      <c r="C11" s="169">
        <v>6</v>
      </c>
      <c r="D11" s="158">
        <f>'BASE DE DADOS'!E12</f>
        <v>2020</v>
      </c>
      <c r="E11" s="159" t="str">
        <f>'BASE DE DADOS'!G12</f>
        <v>NOVO-GASTÃO</v>
      </c>
      <c r="F11" s="159" t="str">
        <f>'BASE DE DADOS'!I12</f>
        <v>PROFESSOR</v>
      </c>
      <c r="G11" s="172">
        <f>'BASE DE DADOS'!K12</f>
        <v>45000</v>
      </c>
      <c r="H11" s="174">
        <f>'BASE DE DADOS'!M12</f>
        <v>8</v>
      </c>
      <c r="I11" s="174">
        <f>'BASE DE DADOS'!N12</f>
        <v>9</v>
      </c>
      <c r="J11" s="173">
        <f>'BASE DE DADOS'!P12</f>
        <v>6</v>
      </c>
      <c r="K11" s="173">
        <f>'BASE DE DADOS'!Q12</f>
        <v>7</v>
      </c>
      <c r="L11" s="158">
        <f>'BASE DE DADOS'!S12</f>
        <v>0</v>
      </c>
      <c r="M11" s="13"/>
    </row>
    <row r="12" spans="2:13" ht="15.6" x14ac:dyDescent="0.3">
      <c r="B12" s="10"/>
      <c r="C12" s="169">
        <v>7</v>
      </c>
      <c r="D12" s="158">
        <f>'BASE DE DADOS'!E13</f>
        <v>0</v>
      </c>
      <c r="E12" s="159">
        <f>'BASE DE DADOS'!G13</f>
        <v>0</v>
      </c>
      <c r="F12" s="159">
        <f>'BASE DE DADOS'!I13</f>
        <v>0</v>
      </c>
      <c r="G12" s="172">
        <f>'BASE DE DADOS'!K13</f>
        <v>0</v>
      </c>
      <c r="H12" s="174">
        <f>'BASE DE DADOS'!M13</f>
        <v>0</v>
      </c>
      <c r="I12" s="174">
        <f>'BASE DE DADOS'!N13</f>
        <v>0</v>
      </c>
      <c r="J12" s="173">
        <f>'BASE DE DADOS'!P13</f>
        <v>0</v>
      </c>
      <c r="K12" s="173">
        <f>'BASE DE DADOS'!Q13</f>
        <v>0</v>
      </c>
      <c r="L12" s="158">
        <f>'BASE DE DADOS'!S13</f>
        <v>0</v>
      </c>
      <c r="M12" s="13"/>
    </row>
    <row r="13" spans="2:13" ht="15.6" x14ac:dyDescent="0.3">
      <c r="B13" s="10"/>
      <c r="C13" s="169">
        <v>8</v>
      </c>
      <c r="D13" s="158">
        <f>'BASE DE DADOS'!E14</f>
        <v>0</v>
      </c>
      <c r="E13" s="159">
        <f>'BASE DE DADOS'!G14</f>
        <v>0</v>
      </c>
      <c r="F13" s="159">
        <f>'BASE DE DADOS'!I14</f>
        <v>0</v>
      </c>
      <c r="G13" s="172">
        <f>'BASE DE DADOS'!K14</f>
        <v>0</v>
      </c>
      <c r="H13" s="174">
        <f>'BASE DE DADOS'!M14</f>
        <v>0</v>
      </c>
      <c r="I13" s="174">
        <f>'BASE DE DADOS'!N14</f>
        <v>0</v>
      </c>
      <c r="J13" s="173">
        <f>'BASE DE DADOS'!P14</f>
        <v>0</v>
      </c>
      <c r="K13" s="173">
        <f>'BASE DE DADOS'!Q14</f>
        <v>0</v>
      </c>
      <c r="L13" s="158">
        <f>'BASE DE DADOS'!S14</f>
        <v>0</v>
      </c>
      <c r="M13" s="13"/>
    </row>
    <row r="14" spans="2:13" ht="15.6" x14ac:dyDescent="0.3">
      <c r="B14" s="10"/>
      <c r="C14" s="169">
        <v>9</v>
      </c>
      <c r="D14" s="158">
        <f>'BASE DE DADOS'!E15</f>
        <v>0</v>
      </c>
      <c r="E14" s="159">
        <f>'BASE DE DADOS'!G15</f>
        <v>0</v>
      </c>
      <c r="F14" s="159">
        <f>'BASE DE DADOS'!I15</f>
        <v>0</v>
      </c>
      <c r="G14" s="172">
        <f>'BASE DE DADOS'!K15</f>
        <v>0</v>
      </c>
      <c r="H14" s="174">
        <f>'BASE DE DADOS'!M15</f>
        <v>0</v>
      </c>
      <c r="I14" s="174">
        <f>'BASE DE DADOS'!N15</f>
        <v>0</v>
      </c>
      <c r="J14" s="173">
        <f>'BASE DE DADOS'!P15</f>
        <v>0</v>
      </c>
      <c r="K14" s="173">
        <f>'BASE DE DADOS'!Q15</f>
        <v>0</v>
      </c>
      <c r="L14" s="158">
        <f>'BASE DE DADOS'!S15</f>
        <v>0</v>
      </c>
      <c r="M14" s="13"/>
    </row>
    <row r="15" spans="2:13" ht="15.6" x14ac:dyDescent="0.3">
      <c r="B15" s="10"/>
      <c r="C15" s="169">
        <v>10</v>
      </c>
      <c r="D15" s="158">
        <f>'BASE DE DADOS'!E16</f>
        <v>0</v>
      </c>
      <c r="E15" s="159">
        <f>'BASE DE DADOS'!G16</f>
        <v>0</v>
      </c>
      <c r="F15" s="159">
        <f>'BASE DE DADOS'!I16</f>
        <v>0</v>
      </c>
      <c r="G15" s="172">
        <f>'BASE DE DADOS'!K16</f>
        <v>0</v>
      </c>
      <c r="H15" s="174">
        <f>'BASE DE DADOS'!M16</f>
        <v>0</v>
      </c>
      <c r="I15" s="174">
        <f>'BASE DE DADOS'!N16</f>
        <v>0</v>
      </c>
      <c r="J15" s="173">
        <f>'BASE DE DADOS'!P16</f>
        <v>0</v>
      </c>
      <c r="K15" s="173">
        <f>'BASE DE DADOS'!Q16</f>
        <v>0</v>
      </c>
      <c r="L15" s="158">
        <f>'BASE DE DADOS'!S16</f>
        <v>0</v>
      </c>
      <c r="M15" s="13"/>
    </row>
    <row r="16" spans="2:13" ht="15.6" x14ac:dyDescent="0.3">
      <c r="B16" s="10"/>
      <c r="C16" s="169">
        <v>11</v>
      </c>
      <c r="D16" s="158">
        <f>'BASE DE DADOS'!E17</f>
        <v>0</v>
      </c>
      <c r="E16" s="159">
        <f>'BASE DE DADOS'!G17</f>
        <v>0</v>
      </c>
      <c r="F16" s="159">
        <f>'BASE DE DADOS'!I17</f>
        <v>0</v>
      </c>
      <c r="G16" s="172">
        <f>'BASE DE DADOS'!K17</f>
        <v>0</v>
      </c>
      <c r="H16" s="174">
        <f>'BASE DE DADOS'!M17</f>
        <v>0</v>
      </c>
      <c r="I16" s="174">
        <f>'BASE DE DADOS'!N17</f>
        <v>0</v>
      </c>
      <c r="J16" s="173">
        <f>'BASE DE DADOS'!P17</f>
        <v>0</v>
      </c>
      <c r="K16" s="173">
        <f>'BASE DE DADOS'!Q17</f>
        <v>0</v>
      </c>
      <c r="L16" s="158">
        <f>'BASE DE DADOS'!S17</f>
        <v>0</v>
      </c>
      <c r="M16" s="13"/>
    </row>
    <row r="17" spans="2:13" ht="15.6" x14ac:dyDescent="0.3">
      <c r="B17" s="10"/>
      <c r="C17" s="169">
        <v>12</v>
      </c>
      <c r="D17" s="158">
        <f>'BASE DE DADOS'!E18</f>
        <v>0</v>
      </c>
      <c r="E17" s="159">
        <f>'BASE DE DADOS'!G18</f>
        <v>0</v>
      </c>
      <c r="F17" s="159">
        <f>'BASE DE DADOS'!I18</f>
        <v>0</v>
      </c>
      <c r="G17" s="172">
        <f>'BASE DE DADOS'!K18</f>
        <v>0</v>
      </c>
      <c r="H17" s="174">
        <f>'BASE DE DADOS'!M18</f>
        <v>0</v>
      </c>
      <c r="I17" s="174">
        <f>'BASE DE DADOS'!N18</f>
        <v>0</v>
      </c>
      <c r="J17" s="173">
        <f>'BASE DE DADOS'!P18</f>
        <v>0</v>
      </c>
      <c r="K17" s="173">
        <f>'BASE DE DADOS'!Q18</f>
        <v>0</v>
      </c>
      <c r="L17" s="158">
        <f>'BASE DE DADOS'!S18</f>
        <v>0</v>
      </c>
      <c r="M17" s="13"/>
    </row>
    <row r="18" spans="2:13" ht="15.6" x14ac:dyDescent="0.3">
      <c r="B18" s="10"/>
      <c r="C18" s="169">
        <v>13</v>
      </c>
      <c r="D18" s="158">
        <f>'BASE DE DADOS'!E19</f>
        <v>0</v>
      </c>
      <c r="E18" s="159">
        <f>'BASE DE DADOS'!G19</f>
        <v>0</v>
      </c>
      <c r="F18" s="159">
        <f>'BASE DE DADOS'!I19</f>
        <v>0</v>
      </c>
      <c r="G18" s="172">
        <f>'BASE DE DADOS'!K19</f>
        <v>0</v>
      </c>
      <c r="H18" s="174">
        <f>'BASE DE DADOS'!M19</f>
        <v>0</v>
      </c>
      <c r="I18" s="174">
        <f>'BASE DE DADOS'!N19</f>
        <v>0</v>
      </c>
      <c r="J18" s="173">
        <f>'BASE DE DADOS'!P19</f>
        <v>0</v>
      </c>
      <c r="K18" s="173">
        <f>'BASE DE DADOS'!Q19</f>
        <v>0</v>
      </c>
      <c r="L18" s="158">
        <f>'BASE DE DADOS'!S19</f>
        <v>0</v>
      </c>
      <c r="M18" s="13"/>
    </row>
    <row r="19" spans="2:13" ht="15.6" x14ac:dyDescent="0.3">
      <c r="B19" s="10"/>
      <c r="C19" s="169">
        <v>14</v>
      </c>
      <c r="D19" s="158">
        <f>'BASE DE DADOS'!E20</f>
        <v>0</v>
      </c>
      <c r="E19" s="159">
        <f>'BASE DE DADOS'!G20</f>
        <v>0</v>
      </c>
      <c r="F19" s="159">
        <f>'BASE DE DADOS'!I20</f>
        <v>0</v>
      </c>
      <c r="G19" s="172">
        <f>'BASE DE DADOS'!K20</f>
        <v>0</v>
      </c>
      <c r="H19" s="174">
        <f>'BASE DE DADOS'!M20</f>
        <v>0</v>
      </c>
      <c r="I19" s="174">
        <f>'BASE DE DADOS'!N20</f>
        <v>0</v>
      </c>
      <c r="J19" s="173">
        <f>'BASE DE DADOS'!P20</f>
        <v>0</v>
      </c>
      <c r="K19" s="173">
        <f>'BASE DE DADOS'!Q20</f>
        <v>0</v>
      </c>
      <c r="L19" s="158">
        <f>'BASE DE DADOS'!S20</f>
        <v>0</v>
      </c>
      <c r="M19" s="13"/>
    </row>
    <row r="20" spans="2:13" ht="15.6" x14ac:dyDescent="0.3">
      <c r="B20" s="10"/>
      <c r="C20" s="169">
        <v>15</v>
      </c>
      <c r="D20" s="158">
        <f>'BASE DE DADOS'!E21</f>
        <v>0</v>
      </c>
      <c r="E20" s="159">
        <f>'BASE DE DADOS'!G21</f>
        <v>0</v>
      </c>
      <c r="F20" s="159">
        <f>'BASE DE DADOS'!I21</f>
        <v>0</v>
      </c>
      <c r="G20" s="172">
        <f>'BASE DE DADOS'!K21</f>
        <v>0</v>
      </c>
      <c r="H20" s="174">
        <f>'BASE DE DADOS'!M21</f>
        <v>0</v>
      </c>
      <c r="I20" s="174">
        <f>'BASE DE DADOS'!N21</f>
        <v>0</v>
      </c>
      <c r="J20" s="173">
        <f>'BASE DE DADOS'!P21</f>
        <v>0</v>
      </c>
      <c r="K20" s="173">
        <f>'BASE DE DADOS'!Q21</f>
        <v>0</v>
      </c>
      <c r="L20" s="158">
        <f>'BASE DE DADOS'!S21</f>
        <v>0</v>
      </c>
      <c r="M20" s="13"/>
    </row>
    <row r="21" spans="2:13" ht="15.6" x14ac:dyDescent="0.3">
      <c r="B21" s="10"/>
      <c r="C21" s="169">
        <v>16</v>
      </c>
      <c r="D21" s="158">
        <f>'BASE DE DADOS'!E22</f>
        <v>0</v>
      </c>
      <c r="E21" s="159">
        <f>'BASE DE DADOS'!G22</f>
        <v>0</v>
      </c>
      <c r="F21" s="159">
        <f>'BASE DE DADOS'!I22</f>
        <v>0</v>
      </c>
      <c r="G21" s="172">
        <f>'BASE DE DADOS'!K22</f>
        <v>0</v>
      </c>
      <c r="H21" s="174">
        <f>'BASE DE DADOS'!M22</f>
        <v>0</v>
      </c>
      <c r="I21" s="174">
        <f>'BASE DE DADOS'!N22</f>
        <v>0</v>
      </c>
      <c r="J21" s="173">
        <f>'BASE DE DADOS'!P22</f>
        <v>0</v>
      </c>
      <c r="K21" s="173">
        <f>'BASE DE DADOS'!Q22</f>
        <v>0</v>
      </c>
      <c r="L21" s="158">
        <f>'BASE DE DADOS'!S22</f>
        <v>0</v>
      </c>
      <c r="M21" s="13"/>
    </row>
    <row r="22" spans="2:13" ht="15.6" x14ac:dyDescent="0.3">
      <c r="B22" s="10"/>
      <c r="C22" s="169">
        <v>17</v>
      </c>
      <c r="D22" s="158">
        <f>'BASE DE DADOS'!E23</f>
        <v>0</v>
      </c>
      <c r="E22" s="159">
        <f>'BASE DE DADOS'!G23</f>
        <v>0</v>
      </c>
      <c r="F22" s="159">
        <f>'BASE DE DADOS'!I23</f>
        <v>0</v>
      </c>
      <c r="G22" s="172">
        <f>'BASE DE DADOS'!K23</f>
        <v>0</v>
      </c>
      <c r="H22" s="174">
        <f>'BASE DE DADOS'!M23</f>
        <v>0</v>
      </c>
      <c r="I22" s="174">
        <f>'BASE DE DADOS'!N23</f>
        <v>0</v>
      </c>
      <c r="J22" s="173">
        <f>'BASE DE DADOS'!P23</f>
        <v>0</v>
      </c>
      <c r="K22" s="173">
        <f>'BASE DE DADOS'!Q23</f>
        <v>0</v>
      </c>
      <c r="L22" s="158">
        <f>'BASE DE DADOS'!S23</f>
        <v>0</v>
      </c>
      <c r="M22" s="13"/>
    </row>
    <row r="23" spans="2:13" ht="15.6" x14ac:dyDescent="0.3">
      <c r="B23" s="10"/>
      <c r="C23" s="169">
        <v>18</v>
      </c>
      <c r="D23" s="158">
        <f>'BASE DE DADOS'!E24</f>
        <v>0</v>
      </c>
      <c r="E23" s="159">
        <f>'BASE DE DADOS'!G24</f>
        <v>0</v>
      </c>
      <c r="F23" s="159">
        <f>'BASE DE DADOS'!I24</f>
        <v>0</v>
      </c>
      <c r="G23" s="172">
        <f>'BASE DE DADOS'!K24</f>
        <v>0</v>
      </c>
      <c r="H23" s="174">
        <f>'BASE DE DADOS'!M24</f>
        <v>0</v>
      </c>
      <c r="I23" s="174">
        <f>'BASE DE DADOS'!N24</f>
        <v>0</v>
      </c>
      <c r="J23" s="173">
        <f>'BASE DE DADOS'!P24</f>
        <v>0</v>
      </c>
      <c r="K23" s="173">
        <f>'BASE DE DADOS'!Q24</f>
        <v>0</v>
      </c>
      <c r="L23" s="158">
        <f>'BASE DE DADOS'!S24</f>
        <v>0</v>
      </c>
      <c r="M23" s="13"/>
    </row>
    <row r="24" spans="2:13" ht="15.6" x14ac:dyDescent="0.3">
      <c r="B24" s="10"/>
      <c r="C24" s="169">
        <v>19</v>
      </c>
      <c r="D24" s="158">
        <f>'BASE DE DADOS'!E25</f>
        <v>0</v>
      </c>
      <c r="E24" s="159">
        <f>'BASE DE DADOS'!G25</f>
        <v>0</v>
      </c>
      <c r="F24" s="159">
        <f>'BASE DE DADOS'!I25</f>
        <v>0</v>
      </c>
      <c r="G24" s="172">
        <f>'BASE DE DADOS'!K25</f>
        <v>0</v>
      </c>
      <c r="H24" s="174">
        <f>'BASE DE DADOS'!M25</f>
        <v>0</v>
      </c>
      <c r="I24" s="174">
        <f>'BASE DE DADOS'!N25</f>
        <v>0</v>
      </c>
      <c r="J24" s="173">
        <f>'BASE DE DADOS'!P25</f>
        <v>0</v>
      </c>
      <c r="K24" s="173">
        <f>'BASE DE DADOS'!Q25</f>
        <v>0</v>
      </c>
      <c r="L24" s="158">
        <f>'BASE DE DADOS'!S25</f>
        <v>0</v>
      </c>
      <c r="M24" s="13"/>
    </row>
    <row r="25" spans="2:13" ht="15.6" x14ac:dyDescent="0.3">
      <c r="B25" s="10"/>
      <c r="C25" s="169">
        <v>20</v>
      </c>
      <c r="D25" s="158">
        <f>'BASE DE DADOS'!E26</f>
        <v>0</v>
      </c>
      <c r="E25" s="159">
        <f>'BASE DE DADOS'!G26</f>
        <v>0</v>
      </c>
      <c r="F25" s="159">
        <f>'BASE DE DADOS'!I26</f>
        <v>0</v>
      </c>
      <c r="G25" s="172">
        <f>'BASE DE DADOS'!K26</f>
        <v>0</v>
      </c>
      <c r="H25" s="174">
        <f>'BASE DE DADOS'!M26</f>
        <v>0</v>
      </c>
      <c r="I25" s="174">
        <f>'BASE DE DADOS'!N26</f>
        <v>0</v>
      </c>
      <c r="J25" s="173">
        <f>'BASE DE DADOS'!P26</f>
        <v>0</v>
      </c>
      <c r="K25" s="173">
        <f>'BASE DE DADOS'!Q26</f>
        <v>0</v>
      </c>
      <c r="L25" s="158">
        <f>'BASE DE DADOS'!S26</f>
        <v>0</v>
      </c>
      <c r="M25" s="13"/>
    </row>
    <row r="26" spans="2:13" ht="15.6" x14ac:dyDescent="0.3">
      <c r="B26" s="10"/>
      <c r="C26" s="169">
        <v>21</v>
      </c>
      <c r="D26" s="158">
        <f>'BASE DE DADOS'!E27</f>
        <v>0</v>
      </c>
      <c r="E26" s="159">
        <f>'BASE DE DADOS'!G27</f>
        <v>0</v>
      </c>
      <c r="F26" s="159">
        <f>'BASE DE DADOS'!I27</f>
        <v>0</v>
      </c>
      <c r="G26" s="172">
        <f>'BASE DE DADOS'!K27</f>
        <v>0</v>
      </c>
      <c r="H26" s="174">
        <f>'BASE DE DADOS'!M27</f>
        <v>0</v>
      </c>
      <c r="I26" s="174">
        <f>'BASE DE DADOS'!N27</f>
        <v>0</v>
      </c>
      <c r="J26" s="173">
        <f>'BASE DE DADOS'!P27</f>
        <v>0</v>
      </c>
      <c r="K26" s="173">
        <f>'BASE DE DADOS'!Q27</f>
        <v>0</v>
      </c>
      <c r="L26" s="158">
        <f>'BASE DE DADOS'!S27</f>
        <v>0</v>
      </c>
      <c r="M26" s="13"/>
    </row>
    <row r="27" spans="2:13" ht="15.6" x14ac:dyDescent="0.3">
      <c r="B27" s="10"/>
      <c r="C27" s="169">
        <v>22</v>
      </c>
      <c r="D27" s="158">
        <f>'BASE DE DADOS'!E28</f>
        <v>0</v>
      </c>
      <c r="E27" s="159">
        <f>'BASE DE DADOS'!G28</f>
        <v>0</v>
      </c>
      <c r="F27" s="159">
        <f>'BASE DE DADOS'!I28</f>
        <v>0</v>
      </c>
      <c r="G27" s="172">
        <f>'BASE DE DADOS'!K28</f>
        <v>0</v>
      </c>
      <c r="H27" s="174">
        <f>'BASE DE DADOS'!M28</f>
        <v>0</v>
      </c>
      <c r="I27" s="174">
        <f>'BASE DE DADOS'!N28</f>
        <v>0</v>
      </c>
      <c r="J27" s="173">
        <f>'BASE DE DADOS'!P28</f>
        <v>0</v>
      </c>
      <c r="K27" s="173">
        <f>'BASE DE DADOS'!Q28</f>
        <v>0</v>
      </c>
      <c r="L27" s="158">
        <f>'BASE DE DADOS'!S28</f>
        <v>0</v>
      </c>
      <c r="M27" s="13"/>
    </row>
    <row r="28" spans="2:13" ht="15.6" x14ac:dyDescent="0.3">
      <c r="B28" s="10"/>
      <c r="C28" s="169">
        <v>23</v>
      </c>
      <c r="D28" s="158">
        <f>'BASE DE DADOS'!E29</f>
        <v>0</v>
      </c>
      <c r="E28" s="159">
        <f>'BASE DE DADOS'!G29</f>
        <v>0</v>
      </c>
      <c r="F28" s="159">
        <f>'BASE DE DADOS'!I29</f>
        <v>0</v>
      </c>
      <c r="G28" s="172">
        <f>'BASE DE DADOS'!K29</f>
        <v>0</v>
      </c>
      <c r="H28" s="174">
        <f>'BASE DE DADOS'!M29</f>
        <v>0</v>
      </c>
      <c r="I28" s="174">
        <f>'BASE DE DADOS'!N29</f>
        <v>0</v>
      </c>
      <c r="J28" s="173">
        <f>'BASE DE DADOS'!P29</f>
        <v>0</v>
      </c>
      <c r="K28" s="173">
        <f>'BASE DE DADOS'!Q29</f>
        <v>0</v>
      </c>
      <c r="L28" s="158">
        <f>'BASE DE DADOS'!S29</f>
        <v>0</v>
      </c>
      <c r="M28" s="13"/>
    </row>
    <row r="29" spans="2:13" ht="15.6" x14ac:dyDescent="0.3">
      <c r="B29" s="10"/>
      <c r="C29" s="169">
        <v>24</v>
      </c>
      <c r="D29" s="158">
        <f>'BASE DE DADOS'!E30</f>
        <v>0</v>
      </c>
      <c r="E29" s="159">
        <f>'BASE DE DADOS'!G30</f>
        <v>0</v>
      </c>
      <c r="F29" s="159">
        <f>'BASE DE DADOS'!I30</f>
        <v>0</v>
      </c>
      <c r="G29" s="172">
        <f>'BASE DE DADOS'!K30</f>
        <v>0</v>
      </c>
      <c r="H29" s="174">
        <f>'BASE DE DADOS'!M30</f>
        <v>0</v>
      </c>
      <c r="I29" s="174">
        <f>'BASE DE DADOS'!N30</f>
        <v>0</v>
      </c>
      <c r="J29" s="173">
        <f>'BASE DE DADOS'!P30</f>
        <v>0</v>
      </c>
      <c r="K29" s="173">
        <f>'BASE DE DADOS'!Q30</f>
        <v>0</v>
      </c>
      <c r="L29" s="158">
        <f>'BASE DE DADOS'!S30</f>
        <v>0</v>
      </c>
      <c r="M29" s="13"/>
    </row>
    <row r="30" spans="2:13" ht="15.6" x14ac:dyDescent="0.3">
      <c r="B30" s="10"/>
      <c r="C30" s="169">
        <v>25</v>
      </c>
      <c r="D30" s="158">
        <f>'BASE DE DADOS'!E31</f>
        <v>0</v>
      </c>
      <c r="E30" s="159">
        <f>'BASE DE DADOS'!G31</f>
        <v>0</v>
      </c>
      <c r="F30" s="159">
        <f>'BASE DE DADOS'!I31</f>
        <v>0</v>
      </c>
      <c r="G30" s="172">
        <f>'BASE DE DADOS'!K31</f>
        <v>0</v>
      </c>
      <c r="H30" s="174">
        <f>'BASE DE DADOS'!M31</f>
        <v>0</v>
      </c>
      <c r="I30" s="174">
        <f>'BASE DE DADOS'!N31</f>
        <v>0</v>
      </c>
      <c r="J30" s="173">
        <f>'BASE DE DADOS'!P31</f>
        <v>0</v>
      </c>
      <c r="K30" s="173">
        <f>'BASE DE DADOS'!Q31</f>
        <v>0</v>
      </c>
      <c r="L30" s="158">
        <f>'BASE DE DADOS'!S31</f>
        <v>0</v>
      </c>
      <c r="M30" s="13"/>
    </row>
    <row r="31" spans="2:13" ht="15.6" x14ac:dyDescent="0.3">
      <c r="B31" s="10"/>
      <c r="C31" s="169">
        <v>26</v>
      </c>
      <c r="D31" s="158">
        <f>'BASE DE DADOS'!E32</f>
        <v>0</v>
      </c>
      <c r="E31" s="159">
        <f>'BASE DE DADOS'!G32</f>
        <v>0</v>
      </c>
      <c r="F31" s="159">
        <f>'BASE DE DADOS'!I32</f>
        <v>0</v>
      </c>
      <c r="G31" s="172">
        <f>'BASE DE DADOS'!K32</f>
        <v>0</v>
      </c>
      <c r="H31" s="174">
        <f>'BASE DE DADOS'!M32</f>
        <v>0</v>
      </c>
      <c r="I31" s="174">
        <f>'BASE DE DADOS'!N32</f>
        <v>0</v>
      </c>
      <c r="J31" s="173">
        <f>'BASE DE DADOS'!P32</f>
        <v>0</v>
      </c>
      <c r="K31" s="173">
        <f>'BASE DE DADOS'!Q32</f>
        <v>0</v>
      </c>
      <c r="L31" s="158">
        <f>'BASE DE DADOS'!S32</f>
        <v>0</v>
      </c>
      <c r="M31" s="13"/>
    </row>
    <row r="32" spans="2:13" ht="15.6" x14ac:dyDescent="0.3">
      <c r="B32" s="10"/>
      <c r="C32" s="169">
        <v>27</v>
      </c>
      <c r="D32" s="158">
        <f>'BASE DE DADOS'!E33</f>
        <v>0</v>
      </c>
      <c r="E32" s="159">
        <f>'BASE DE DADOS'!G33</f>
        <v>0</v>
      </c>
      <c r="F32" s="159">
        <f>'BASE DE DADOS'!I33</f>
        <v>0</v>
      </c>
      <c r="G32" s="172">
        <f>'BASE DE DADOS'!K33</f>
        <v>0</v>
      </c>
      <c r="H32" s="174">
        <f>'BASE DE DADOS'!M33</f>
        <v>0</v>
      </c>
      <c r="I32" s="174">
        <f>'BASE DE DADOS'!N33</f>
        <v>0</v>
      </c>
      <c r="J32" s="173">
        <f>'BASE DE DADOS'!P33</f>
        <v>0</v>
      </c>
      <c r="K32" s="173">
        <f>'BASE DE DADOS'!Q33</f>
        <v>0</v>
      </c>
      <c r="L32" s="158">
        <f>'BASE DE DADOS'!S33</f>
        <v>0</v>
      </c>
      <c r="M32" s="13"/>
    </row>
    <row r="33" spans="2:13" ht="15.6" x14ac:dyDescent="0.3">
      <c r="B33" s="10"/>
      <c r="C33" s="169">
        <v>28</v>
      </c>
      <c r="D33" s="158">
        <f>'BASE DE DADOS'!E34</f>
        <v>0</v>
      </c>
      <c r="E33" s="159">
        <f>'BASE DE DADOS'!G34</f>
        <v>0</v>
      </c>
      <c r="F33" s="159">
        <f>'BASE DE DADOS'!I34</f>
        <v>0</v>
      </c>
      <c r="G33" s="172">
        <f>'BASE DE DADOS'!K34</f>
        <v>0</v>
      </c>
      <c r="H33" s="174">
        <f>'BASE DE DADOS'!M34</f>
        <v>0</v>
      </c>
      <c r="I33" s="174">
        <f>'BASE DE DADOS'!N34</f>
        <v>0</v>
      </c>
      <c r="J33" s="173">
        <f>'BASE DE DADOS'!P34</f>
        <v>0</v>
      </c>
      <c r="K33" s="173">
        <f>'BASE DE DADOS'!Q34</f>
        <v>0</v>
      </c>
      <c r="L33" s="158">
        <f>'BASE DE DADOS'!S34</f>
        <v>0</v>
      </c>
      <c r="M33" s="13"/>
    </row>
    <row r="34" spans="2:13" ht="15.6" x14ac:dyDescent="0.3">
      <c r="B34" s="10"/>
      <c r="C34" s="169">
        <v>29</v>
      </c>
      <c r="D34" s="158">
        <f>'BASE DE DADOS'!E35</f>
        <v>0</v>
      </c>
      <c r="E34" s="159">
        <f>'BASE DE DADOS'!G35</f>
        <v>0</v>
      </c>
      <c r="F34" s="159">
        <f>'BASE DE DADOS'!I35</f>
        <v>0</v>
      </c>
      <c r="G34" s="172">
        <f>'BASE DE DADOS'!K35</f>
        <v>0</v>
      </c>
      <c r="H34" s="174">
        <f>'BASE DE DADOS'!M35</f>
        <v>0</v>
      </c>
      <c r="I34" s="174">
        <f>'BASE DE DADOS'!N35</f>
        <v>0</v>
      </c>
      <c r="J34" s="173">
        <f>'BASE DE DADOS'!P35</f>
        <v>0</v>
      </c>
      <c r="K34" s="173">
        <f>'BASE DE DADOS'!Q35</f>
        <v>0</v>
      </c>
      <c r="L34" s="158">
        <f>'BASE DE DADOS'!S35</f>
        <v>0</v>
      </c>
      <c r="M34" s="13"/>
    </row>
    <row r="35" spans="2:13" ht="15.6" x14ac:dyDescent="0.3">
      <c r="B35" s="10"/>
      <c r="C35" s="169">
        <v>30</v>
      </c>
      <c r="D35" s="158">
        <f>'BASE DE DADOS'!E36</f>
        <v>0</v>
      </c>
      <c r="E35" s="159">
        <f>'BASE DE DADOS'!G36</f>
        <v>0</v>
      </c>
      <c r="F35" s="159">
        <f>'BASE DE DADOS'!I36</f>
        <v>0</v>
      </c>
      <c r="G35" s="172">
        <f>'BASE DE DADOS'!K36</f>
        <v>0</v>
      </c>
      <c r="H35" s="174">
        <f>'BASE DE DADOS'!M36</f>
        <v>0</v>
      </c>
      <c r="I35" s="174">
        <f>'BASE DE DADOS'!N36</f>
        <v>0</v>
      </c>
      <c r="J35" s="173">
        <f>'BASE DE DADOS'!P36</f>
        <v>0</v>
      </c>
      <c r="K35" s="173">
        <f>'BASE DE DADOS'!Q36</f>
        <v>0</v>
      </c>
      <c r="L35" s="158">
        <f>'BASE DE DADOS'!S36</f>
        <v>0</v>
      </c>
      <c r="M35" s="13"/>
    </row>
    <row r="36" spans="2:13" ht="15.6" x14ac:dyDescent="0.3">
      <c r="B36" s="10"/>
      <c r="C36" s="169">
        <v>31</v>
      </c>
      <c r="D36" s="158">
        <f>'BASE DE DADOS'!E37</f>
        <v>0</v>
      </c>
      <c r="E36" s="159">
        <f>'BASE DE DADOS'!G37</f>
        <v>0</v>
      </c>
      <c r="F36" s="159">
        <f>'BASE DE DADOS'!I37</f>
        <v>0</v>
      </c>
      <c r="G36" s="172">
        <f>'BASE DE DADOS'!K37</f>
        <v>0</v>
      </c>
      <c r="H36" s="174">
        <f>'BASE DE DADOS'!M37</f>
        <v>0</v>
      </c>
      <c r="I36" s="174">
        <f>'BASE DE DADOS'!N37</f>
        <v>0</v>
      </c>
      <c r="J36" s="173">
        <f>'BASE DE DADOS'!P37</f>
        <v>0</v>
      </c>
      <c r="K36" s="173">
        <f>'BASE DE DADOS'!Q37</f>
        <v>0</v>
      </c>
      <c r="L36" s="158">
        <f>'BASE DE DADOS'!S37</f>
        <v>0</v>
      </c>
      <c r="M36" s="13"/>
    </row>
    <row r="37" spans="2:13" ht="15.6" x14ac:dyDescent="0.3">
      <c r="B37" s="10"/>
      <c r="C37" s="169">
        <v>32</v>
      </c>
      <c r="D37" s="158">
        <f>'BASE DE DADOS'!E38</f>
        <v>0</v>
      </c>
      <c r="E37" s="159">
        <f>'BASE DE DADOS'!G38</f>
        <v>0</v>
      </c>
      <c r="F37" s="159">
        <f>'BASE DE DADOS'!I38</f>
        <v>0</v>
      </c>
      <c r="G37" s="172">
        <f>'BASE DE DADOS'!K38</f>
        <v>0</v>
      </c>
      <c r="H37" s="174">
        <f>'BASE DE DADOS'!M38</f>
        <v>0</v>
      </c>
      <c r="I37" s="174">
        <f>'BASE DE DADOS'!N38</f>
        <v>0</v>
      </c>
      <c r="J37" s="173">
        <f>'BASE DE DADOS'!P38</f>
        <v>0</v>
      </c>
      <c r="K37" s="173">
        <f>'BASE DE DADOS'!Q38</f>
        <v>0</v>
      </c>
      <c r="L37" s="158">
        <f>'BASE DE DADOS'!S38</f>
        <v>0</v>
      </c>
      <c r="M37" s="13"/>
    </row>
    <row r="38" spans="2:13" ht="15.6" x14ac:dyDescent="0.3">
      <c r="B38" s="10"/>
      <c r="C38" s="169">
        <v>33</v>
      </c>
      <c r="D38" s="158">
        <f>'BASE DE DADOS'!E39</f>
        <v>0</v>
      </c>
      <c r="E38" s="159">
        <f>'BASE DE DADOS'!G39</f>
        <v>0</v>
      </c>
      <c r="F38" s="159">
        <f>'BASE DE DADOS'!I39</f>
        <v>0</v>
      </c>
      <c r="G38" s="172">
        <f>'BASE DE DADOS'!K39</f>
        <v>0</v>
      </c>
      <c r="H38" s="174">
        <f>'BASE DE DADOS'!M39</f>
        <v>0</v>
      </c>
      <c r="I38" s="174">
        <f>'BASE DE DADOS'!N39</f>
        <v>0</v>
      </c>
      <c r="J38" s="173">
        <f>'BASE DE DADOS'!P39</f>
        <v>0</v>
      </c>
      <c r="K38" s="173">
        <f>'BASE DE DADOS'!Q39</f>
        <v>0</v>
      </c>
      <c r="L38" s="158">
        <f>'BASE DE DADOS'!S39</f>
        <v>0</v>
      </c>
      <c r="M38" s="13"/>
    </row>
    <row r="39" spans="2:13" ht="15.6" x14ac:dyDescent="0.3">
      <c r="B39" s="10"/>
      <c r="C39" s="169">
        <v>34</v>
      </c>
      <c r="D39" s="158">
        <f>'BASE DE DADOS'!E40</f>
        <v>0</v>
      </c>
      <c r="E39" s="159">
        <f>'BASE DE DADOS'!G40</f>
        <v>0</v>
      </c>
      <c r="F39" s="159">
        <f>'BASE DE DADOS'!I40</f>
        <v>0</v>
      </c>
      <c r="G39" s="172">
        <f>'BASE DE DADOS'!K40</f>
        <v>0</v>
      </c>
      <c r="H39" s="174">
        <f>'BASE DE DADOS'!M40</f>
        <v>0</v>
      </c>
      <c r="I39" s="174">
        <f>'BASE DE DADOS'!N40</f>
        <v>0</v>
      </c>
      <c r="J39" s="173">
        <f>'BASE DE DADOS'!P40</f>
        <v>0</v>
      </c>
      <c r="K39" s="173">
        <f>'BASE DE DADOS'!Q40</f>
        <v>0</v>
      </c>
      <c r="L39" s="158">
        <f>'BASE DE DADOS'!S40</f>
        <v>0</v>
      </c>
      <c r="M39" s="13"/>
    </row>
    <row r="40" spans="2:13" ht="15.6" x14ac:dyDescent="0.3">
      <c r="B40" s="10"/>
      <c r="C40" s="169">
        <v>35</v>
      </c>
      <c r="D40" s="158">
        <f>'BASE DE DADOS'!E41</f>
        <v>0</v>
      </c>
      <c r="E40" s="159">
        <f>'BASE DE DADOS'!G41</f>
        <v>0</v>
      </c>
      <c r="F40" s="159">
        <f>'BASE DE DADOS'!I41</f>
        <v>0</v>
      </c>
      <c r="G40" s="172">
        <f>'BASE DE DADOS'!K41</f>
        <v>0</v>
      </c>
      <c r="H40" s="174">
        <f>'BASE DE DADOS'!M41</f>
        <v>0</v>
      </c>
      <c r="I40" s="174">
        <f>'BASE DE DADOS'!N41</f>
        <v>0</v>
      </c>
      <c r="J40" s="173">
        <f>'BASE DE DADOS'!P41</f>
        <v>0</v>
      </c>
      <c r="K40" s="173">
        <f>'BASE DE DADOS'!Q41</f>
        <v>0</v>
      </c>
      <c r="L40" s="158">
        <f>'BASE DE DADOS'!S41</f>
        <v>0</v>
      </c>
      <c r="M40" s="13"/>
    </row>
    <row r="41" spans="2:13" ht="15.6" x14ac:dyDescent="0.3">
      <c r="B41" s="10"/>
      <c r="C41" s="169">
        <v>36</v>
      </c>
      <c r="D41" s="158">
        <f>'BASE DE DADOS'!E42</f>
        <v>0</v>
      </c>
      <c r="E41" s="159">
        <f>'BASE DE DADOS'!G42</f>
        <v>0</v>
      </c>
      <c r="F41" s="159">
        <f>'BASE DE DADOS'!I42</f>
        <v>0</v>
      </c>
      <c r="G41" s="172">
        <f>'BASE DE DADOS'!K42</f>
        <v>0</v>
      </c>
      <c r="H41" s="174">
        <f>'BASE DE DADOS'!M42</f>
        <v>0</v>
      </c>
      <c r="I41" s="174">
        <f>'BASE DE DADOS'!N42</f>
        <v>0</v>
      </c>
      <c r="J41" s="173">
        <f>'BASE DE DADOS'!P42</f>
        <v>0</v>
      </c>
      <c r="K41" s="173">
        <f>'BASE DE DADOS'!Q42</f>
        <v>0</v>
      </c>
      <c r="L41" s="158">
        <f>'BASE DE DADOS'!S42</f>
        <v>0</v>
      </c>
      <c r="M41" s="13"/>
    </row>
    <row r="42" spans="2:13" ht="15.6" x14ac:dyDescent="0.3">
      <c r="B42" s="10"/>
      <c r="C42" s="169">
        <v>37</v>
      </c>
      <c r="D42" s="158">
        <f>'BASE DE DADOS'!E43</f>
        <v>0</v>
      </c>
      <c r="E42" s="159">
        <f>'BASE DE DADOS'!G43</f>
        <v>0</v>
      </c>
      <c r="F42" s="159">
        <f>'BASE DE DADOS'!I43</f>
        <v>0</v>
      </c>
      <c r="G42" s="172">
        <f>'BASE DE DADOS'!K43</f>
        <v>0</v>
      </c>
      <c r="H42" s="174">
        <f>'BASE DE DADOS'!M43</f>
        <v>0</v>
      </c>
      <c r="I42" s="174">
        <f>'BASE DE DADOS'!N43</f>
        <v>0</v>
      </c>
      <c r="J42" s="173">
        <f>'BASE DE DADOS'!P43</f>
        <v>0</v>
      </c>
      <c r="K42" s="173">
        <f>'BASE DE DADOS'!Q43</f>
        <v>0</v>
      </c>
      <c r="L42" s="158">
        <f>'BASE DE DADOS'!S43</f>
        <v>0</v>
      </c>
      <c r="M42" s="13"/>
    </row>
    <row r="43" spans="2:13" ht="15.6" x14ac:dyDescent="0.3">
      <c r="B43" s="10"/>
      <c r="C43" s="169">
        <v>38</v>
      </c>
      <c r="D43" s="158">
        <f>'BASE DE DADOS'!E44</f>
        <v>0</v>
      </c>
      <c r="E43" s="159">
        <f>'BASE DE DADOS'!G44</f>
        <v>0</v>
      </c>
      <c r="F43" s="159">
        <f>'BASE DE DADOS'!I44</f>
        <v>0</v>
      </c>
      <c r="G43" s="172">
        <f>'BASE DE DADOS'!K44</f>
        <v>0</v>
      </c>
      <c r="H43" s="174">
        <f>'BASE DE DADOS'!M44</f>
        <v>0</v>
      </c>
      <c r="I43" s="174">
        <f>'BASE DE DADOS'!N44</f>
        <v>0</v>
      </c>
      <c r="J43" s="173">
        <f>'BASE DE DADOS'!P44</f>
        <v>0</v>
      </c>
      <c r="K43" s="173">
        <f>'BASE DE DADOS'!Q44</f>
        <v>0</v>
      </c>
      <c r="L43" s="158">
        <f>'BASE DE DADOS'!S44</f>
        <v>0</v>
      </c>
      <c r="M43" s="13"/>
    </row>
    <row r="44" spans="2:13" ht="15.6" x14ac:dyDescent="0.3">
      <c r="B44" s="10"/>
      <c r="C44" s="169">
        <v>39</v>
      </c>
      <c r="D44" s="158">
        <f>'BASE DE DADOS'!E45</f>
        <v>0</v>
      </c>
      <c r="E44" s="159">
        <f>'BASE DE DADOS'!G45</f>
        <v>0</v>
      </c>
      <c r="F44" s="159">
        <f>'BASE DE DADOS'!I45</f>
        <v>0</v>
      </c>
      <c r="G44" s="172">
        <f>'BASE DE DADOS'!K45</f>
        <v>0</v>
      </c>
      <c r="H44" s="174">
        <f>'BASE DE DADOS'!M45</f>
        <v>0</v>
      </c>
      <c r="I44" s="174">
        <f>'BASE DE DADOS'!N45</f>
        <v>0</v>
      </c>
      <c r="J44" s="173">
        <f>'BASE DE DADOS'!P45</f>
        <v>0</v>
      </c>
      <c r="K44" s="173">
        <f>'BASE DE DADOS'!Q45</f>
        <v>0</v>
      </c>
      <c r="L44" s="158">
        <f>'BASE DE DADOS'!S45</f>
        <v>0</v>
      </c>
      <c r="M44" s="13"/>
    </row>
    <row r="45" spans="2:13" ht="15.6" x14ac:dyDescent="0.3">
      <c r="B45" s="10"/>
      <c r="C45" s="169">
        <v>40</v>
      </c>
      <c r="D45" s="158">
        <f>'BASE DE DADOS'!E46</f>
        <v>0</v>
      </c>
      <c r="E45" s="159">
        <f>'BASE DE DADOS'!G46</f>
        <v>0</v>
      </c>
      <c r="F45" s="159">
        <f>'BASE DE DADOS'!I46</f>
        <v>0</v>
      </c>
      <c r="G45" s="172">
        <f>'BASE DE DADOS'!K46</f>
        <v>0</v>
      </c>
      <c r="H45" s="174">
        <f>'BASE DE DADOS'!M46</f>
        <v>0</v>
      </c>
      <c r="I45" s="174">
        <f>'BASE DE DADOS'!N46</f>
        <v>0</v>
      </c>
      <c r="J45" s="173">
        <f>'BASE DE DADOS'!P46</f>
        <v>0</v>
      </c>
      <c r="K45" s="173">
        <f>'BASE DE DADOS'!Q46</f>
        <v>0</v>
      </c>
      <c r="L45" s="158">
        <f>'BASE DE DADOS'!S46</f>
        <v>0</v>
      </c>
      <c r="M45" s="13"/>
    </row>
    <row r="46" spans="2:13" ht="15.6" x14ac:dyDescent="0.3">
      <c r="B46" s="10"/>
      <c r="C46" s="169">
        <v>41</v>
      </c>
      <c r="D46" s="158">
        <f>'BASE DE DADOS'!E47</f>
        <v>0</v>
      </c>
      <c r="E46" s="159">
        <f>'BASE DE DADOS'!G47</f>
        <v>0</v>
      </c>
      <c r="F46" s="159">
        <f>'BASE DE DADOS'!I47</f>
        <v>0</v>
      </c>
      <c r="G46" s="172">
        <f>'BASE DE DADOS'!K47</f>
        <v>0</v>
      </c>
      <c r="H46" s="174">
        <f>'BASE DE DADOS'!M47</f>
        <v>0</v>
      </c>
      <c r="I46" s="174">
        <f>'BASE DE DADOS'!N47</f>
        <v>0</v>
      </c>
      <c r="J46" s="173">
        <f>'BASE DE DADOS'!P47</f>
        <v>0</v>
      </c>
      <c r="K46" s="173">
        <f>'BASE DE DADOS'!Q47</f>
        <v>0</v>
      </c>
      <c r="L46" s="158">
        <f>'BASE DE DADOS'!S47</f>
        <v>0</v>
      </c>
      <c r="M46" s="13"/>
    </row>
    <row r="47" spans="2:13" ht="15.6" x14ac:dyDescent="0.3">
      <c r="B47" s="10"/>
      <c r="C47" s="169">
        <v>42</v>
      </c>
      <c r="D47" s="158">
        <f>'BASE DE DADOS'!E48</f>
        <v>0</v>
      </c>
      <c r="E47" s="159">
        <f>'BASE DE DADOS'!G48</f>
        <v>0</v>
      </c>
      <c r="F47" s="159">
        <f>'BASE DE DADOS'!I48</f>
        <v>0</v>
      </c>
      <c r="G47" s="172">
        <f>'BASE DE DADOS'!K48</f>
        <v>0</v>
      </c>
      <c r="H47" s="174">
        <f>'BASE DE DADOS'!M48</f>
        <v>0</v>
      </c>
      <c r="I47" s="174">
        <f>'BASE DE DADOS'!N48</f>
        <v>0</v>
      </c>
      <c r="J47" s="173">
        <f>'BASE DE DADOS'!P48</f>
        <v>0</v>
      </c>
      <c r="K47" s="173">
        <f>'BASE DE DADOS'!Q48</f>
        <v>0</v>
      </c>
      <c r="L47" s="158">
        <f>'BASE DE DADOS'!S48</f>
        <v>0</v>
      </c>
      <c r="M47" s="13"/>
    </row>
    <row r="48" spans="2:13" ht="15.6" x14ac:dyDescent="0.3">
      <c r="B48" s="10"/>
      <c r="C48" s="169">
        <v>43</v>
      </c>
      <c r="D48" s="158">
        <f>'BASE DE DADOS'!E49</f>
        <v>0</v>
      </c>
      <c r="E48" s="159">
        <f>'BASE DE DADOS'!G49</f>
        <v>0</v>
      </c>
      <c r="F48" s="159">
        <f>'BASE DE DADOS'!I49</f>
        <v>0</v>
      </c>
      <c r="G48" s="172">
        <f>'BASE DE DADOS'!K49</f>
        <v>0</v>
      </c>
      <c r="H48" s="174">
        <f>'BASE DE DADOS'!M49</f>
        <v>0</v>
      </c>
      <c r="I48" s="174">
        <f>'BASE DE DADOS'!N49</f>
        <v>0</v>
      </c>
      <c r="J48" s="173">
        <f>'BASE DE DADOS'!P49</f>
        <v>0</v>
      </c>
      <c r="K48" s="173">
        <f>'BASE DE DADOS'!Q49</f>
        <v>0</v>
      </c>
      <c r="L48" s="158">
        <f>'BASE DE DADOS'!S49</f>
        <v>0</v>
      </c>
      <c r="M48" s="13"/>
    </row>
    <row r="49" spans="2:13" ht="15.6" x14ac:dyDescent="0.3">
      <c r="B49" s="10"/>
      <c r="C49" s="169">
        <v>44</v>
      </c>
      <c r="D49" s="158">
        <f>'BASE DE DADOS'!E50</f>
        <v>0</v>
      </c>
      <c r="E49" s="159">
        <f>'BASE DE DADOS'!G50</f>
        <v>0</v>
      </c>
      <c r="F49" s="159">
        <f>'BASE DE DADOS'!I50</f>
        <v>0</v>
      </c>
      <c r="G49" s="172">
        <f>'BASE DE DADOS'!K50</f>
        <v>0</v>
      </c>
      <c r="H49" s="174">
        <f>'BASE DE DADOS'!M50</f>
        <v>0</v>
      </c>
      <c r="I49" s="174">
        <f>'BASE DE DADOS'!N50</f>
        <v>0</v>
      </c>
      <c r="J49" s="173">
        <f>'BASE DE DADOS'!P50</f>
        <v>0</v>
      </c>
      <c r="K49" s="173">
        <f>'BASE DE DADOS'!Q50</f>
        <v>0</v>
      </c>
      <c r="L49" s="158">
        <f>'BASE DE DADOS'!S50</f>
        <v>0</v>
      </c>
      <c r="M49" s="13"/>
    </row>
    <row r="50" spans="2:13" ht="15.6" x14ac:dyDescent="0.3">
      <c r="B50" s="10"/>
      <c r="C50" s="169">
        <v>45</v>
      </c>
      <c r="D50" s="158">
        <f>'BASE DE DADOS'!E51</f>
        <v>0</v>
      </c>
      <c r="E50" s="159">
        <f>'BASE DE DADOS'!G51</f>
        <v>0</v>
      </c>
      <c r="F50" s="159">
        <f>'BASE DE DADOS'!I51</f>
        <v>0</v>
      </c>
      <c r="G50" s="172">
        <f>'BASE DE DADOS'!K51</f>
        <v>0</v>
      </c>
      <c r="H50" s="174">
        <f>'BASE DE DADOS'!M51</f>
        <v>0</v>
      </c>
      <c r="I50" s="174">
        <f>'BASE DE DADOS'!N51</f>
        <v>0</v>
      </c>
      <c r="J50" s="173">
        <f>'BASE DE DADOS'!P51</f>
        <v>0</v>
      </c>
      <c r="K50" s="173">
        <f>'BASE DE DADOS'!Q51</f>
        <v>0</v>
      </c>
      <c r="L50" s="158">
        <f>'BASE DE DADOS'!S51</f>
        <v>0</v>
      </c>
      <c r="M50" s="13"/>
    </row>
    <row r="51" spans="2:13" ht="15.6" x14ac:dyDescent="0.3">
      <c r="B51" s="10"/>
      <c r="C51" s="169">
        <v>46</v>
      </c>
      <c r="D51" s="158">
        <f>'BASE DE DADOS'!E52</f>
        <v>0</v>
      </c>
      <c r="E51" s="159">
        <f>'BASE DE DADOS'!G52</f>
        <v>0</v>
      </c>
      <c r="F51" s="159">
        <f>'BASE DE DADOS'!I52</f>
        <v>0</v>
      </c>
      <c r="G51" s="172">
        <f>'BASE DE DADOS'!K52</f>
        <v>0</v>
      </c>
      <c r="H51" s="174">
        <f>'BASE DE DADOS'!M52</f>
        <v>0</v>
      </c>
      <c r="I51" s="174">
        <f>'BASE DE DADOS'!N52</f>
        <v>0</v>
      </c>
      <c r="J51" s="173">
        <f>'BASE DE DADOS'!P52</f>
        <v>0</v>
      </c>
      <c r="K51" s="173">
        <f>'BASE DE DADOS'!Q52</f>
        <v>0</v>
      </c>
      <c r="L51" s="158">
        <f>'BASE DE DADOS'!S52</f>
        <v>0</v>
      </c>
      <c r="M51" s="13"/>
    </row>
    <row r="52" spans="2:13" ht="15.6" x14ac:dyDescent="0.3">
      <c r="B52" s="10"/>
      <c r="C52" s="169">
        <v>47</v>
      </c>
      <c r="D52" s="158">
        <f>'BASE DE DADOS'!E53</f>
        <v>0</v>
      </c>
      <c r="E52" s="159">
        <f>'BASE DE DADOS'!G53</f>
        <v>0</v>
      </c>
      <c r="F52" s="159">
        <f>'BASE DE DADOS'!I53</f>
        <v>0</v>
      </c>
      <c r="G52" s="172">
        <f>'BASE DE DADOS'!K53</f>
        <v>0</v>
      </c>
      <c r="H52" s="174">
        <f>'BASE DE DADOS'!M53</f>
        <v>0</v>
      </c>
      <c r="I52" s="174">
        <f>'BASE DE DADOS'!N53</f>
        <v>0</v>
      </c>
      <c r="J52" s="173">
        <f>'BASE DE DADOS'!P53</f>
        <v>0</v>
      </c>
      <c r="K52" s="173">
        <f>'BASE DE DADOS'!Q53</f>
        <v>0</v>
      </c>
      <c r="L52" s="158">
        <f>'BASE DE DADOS'!S53</f>
        <v>0</v>
      </c>
      <c r="M52" s="13"/>
    </row>
    <row r="53" spans="2:13" ht="15.6" x14ac:dyDescent="0.3">
      <c r="B53" s="10"/>
      <c r="C53" s="169">
        <v>48</v>
      </c>
      <c r="D53" s="158">
        <f>'BASE DE DADOS'!E54</f>
        <v>0</v>
      </c>
      <c r="E53" s="159">
        <f>'BASE DE DADOS'!G54</f>
        <v>0</v>
      </c>
      <c r="F53" s="159">
        <f>'BASE DE DADOS'!I54</f>
        <v>0</v>
      </c>
      <c r="G53" s="172">
        <f>'BASE DE DADOS'!K54</f>
        <v>0</v>
      </c>
      <c r="H53" s="174">
        <f>'BASE DE DADOS'!M54</f>
        <v>0</v>
      </c>
      <c r="I53" s="174">
        <f>'BASE DE DADOS'!N54</f>
        <v>0</v>
      </c>
      <c r="J53" s="173">
        <f>'BASE DE DADOS'!P54</f>
        <v>0</v>
      </c>
      <c r="K53" s="173">
        <f>'BASE DE DADOS'!Q54</f>
        <v>0</v>
      </c>
      <c r="L53" s="158">
        <f>'BASE DE DADOS'!S54</f>
        <v>0</v>
      </c>
      <c r="M53" s="13"/>
    </row>
    <row r="54" spans="2:13" ht="15.6" x14ac:dyDescent="0.3">
      <c r="B54" s="10"/>
      <c r="C54" s="169">
        <v>49</v>
      </c>
      <c r="D54" s="158">
        <f>'BASE DE DADOS'!E55</f>
        <v>0</v>
      </c>
      <c r="E54" s="159">
        <f>'BASE DE DADOS'!G55</f>
        <v>0</v>
      </c>
      <c r="F54" s="159">
        <f>'BASE DE DADOS'!I55</f>
        <v>0</v>
      </c>
      <c r="G54" s="172">
        <f>'BASE DE DADOS'!K55</f>
        <v>0</v>
      </c>
      <c r="H54" s="174">
        <f>'BASE DE DADOS'!M55</f>
        <v>0</v>
      </c>
      <c r="I54" s="174">
        <f>'BASE DE DADOS'!N55</f>
        <v>0</v>
      </c>
      <c r="J54" s="173">
        <f>'BASE DE DADOS'!P55</f>
        <v>0</v>
      </c>
      <c r="K54" s="173">
        <f>'BASE DE DADOS'!Q55</f>
        <v>0</v>
      </c>
      <c r="L54" s="158">
        <f>'BASE DE DADOS'!S55</f>
        <v>0</v>
      </c>
      <c r="M54" s="13"/>
    </row>
    <row r="55" spans="2:13" ht="15.6" x14ac:dyDescent="0.3">
      <c r="B55" s="10"/>
      <c r="C55" s="169">
        <v>50</v>
      </c>
      <c r="D55" s="158">
        <f>'BASE DE DADOS'!E56</f>
        <v>0</v>
      </c>
      <c r="E55" s="159">
        <f>'BASE DE DADOS'!G56</f>
        <v>0</v>
      </c>
      <c r="F55" s="159">
        <f>'BASE DE DADOS'!I56</f>
        <v>0</v>
      </c>
      <c r="G55" s="172">
        <f>'BASE DE DADOS'!K56</f>
        <v>0</v>
      </c>
      <c r="H55" s="174">
        <f>'BASE DE DADOS'!M56</f>
        <v>0</v>
      </c>
      <c r="I55" s="174">
        <f>'BASE DE DADOS'!N56</f>
        <v>0</v>
      </c>
      <c r="J55" s="173">
        <f>'BASE DE DADOS'!P56</f>
        <v>0</v>
      </c>
      <c r="K55" s="173">
        <f>'BASE DE DADOS'!Q56</f>
        <v>0</v>
      </c>
      <c r="L55" s="158">
        <f>'BASE DE DADOS'!S56</f>
        <v>0</v>
      </c>
      <c r="M55" s="13"/>
    </row>
    <row r="56" spans="2:13" ht="15.6" x14ac:dyDescent="0.3">
      <c r="B56" s="10"/>
      <c r="C56" s="169">
        <v>51</v>
      </c>
      <c r="D56" s="158">
        <f>'BASE DE DADOS'!E57</f>
        <v>0</v>
      </c>
      <c r="E56" s="159">
        <f>'BASE DE DADOS'!G57</f>
        <v>0</v>
      </c>
      <c r="F56" s="159">
        <f>'BASE DE DADOS'!I57</f>
        <v>0</v>
      </c>
      <c r="G56" s="172">
        <f>'BASE DE DADOS'!K57</f>
        <v>0</v>
      </c>
      <c r="H56" s="174">
        <f>'BASE DE DADOS'!M57</f>
        <v>0</v>
      </c>
      <c r="I56" s="174">
        <f>'BASE DE DADOS'!N57</f>
        <v>0</v>
      </c>
      <c r="J56" s="173">
        <f>'BASE DE DADOS'!P57</f>
        <v>0</v>
      </c>
      <c r="K56" s="173">
        <f>'BASE DE DADOS'!Q57</f>
        <v>0</v>
      </c>
      <c r="L56" s="158">
        <f>'BASE DE DADOS'!S57</f>
        <v>0</v>
      </c>
      <c r="M56" s="13"/>
    </row>
    <row r="57" spans="2:13" ht="15.6" x14ac:dyDescent="0.3">
      <c r="B57" s="10"/>
      <c r="C57" s="169">
        <v>52</v>
      </c>
      <c r="D57" s="158">
        <f>'BASE DE DADOS'!E58</f>
        <v>0</v>
      </c>
      <c r="E57" s="159">
        <f>'BASE DE DADOS'!G58</f>
        <v>0</v>
      </c>
      <c r="F57" s="159">
        <f>'BASE DE DADOS'!I58</f>
        <v>0</v>
      </c>
      <c r="G57" s="172">
        <f>'BASE DE DADOS'!K58</f>
        <v>0</v>
      </c>
      <c r="H57" s="174">
        <f>'BASE DE DADOS'!M58</f>
        <v>0</v>
      </c>
      <c r="I57" s="174">
        <f>'BASE DE DADOS'!N58</f>
        <v>0</v>
      </c>
      <c r="J57" s="173">
        <f>'BASE DE DADOS'!P58</f>
        <v>0</v>
      </c>
      <c r="K57" s="173">
        <f>'BASE DE DADOS'!Q58</f>
        <v>0</v>
      </c>
      <c r="L57" s="158">
        <f>'BASE DE DADOS'!S58</f>
        <v>0</v>
      </c>
      <c r="M57" s="13"/>
    </row>
    <row r="58" spans="2:13" ht="15.6" x14ac:dyDescent="0.3">
      <c r="B58" s="10"/>
      <c r="C58" s="169">
        <v>53</v>
      </c>
      <c r="D58" s="158">
        <f>'BASE DE DADOS'!E59</f>
        <v>0</v>
      </c>
      <c r="E58" s="159">
        <f>'BASE DE DADOS'!G59</f>
        <v>0</v>
      </c>
      <c r="F58" s="159">
        <f>'BASE DE DADOS'!I59</f>
        <v>0</v>
      </c>
      <c r="G58" s="172">
        <f>'BASE DE DADOS'!K59</f>
        <v>0</v>
      </c>
      <c r="H58" s="174">
        <f>'BASE DE DADOS'!M59</f>
        <v>0</v>
      </c>
      <c r="I58" s="174">
        <f>'BASE DE DADOS'!N59</f>
        <v>0</v>
      </c>
      <c r="J58" s="173">
        <f>'BASE DE DADOS'!P59</f>
        <v>0</v>
      </c>
      <c r="K58" s="173">
        <f>'BASE DE DADOS'!Q59</f>
        <v>0</v>
      </c>
      <c r="L58" s="158">
        <f>'BASE DE DADOS'!S59</f>
        <v>0</v>
      </c>
      <c r="M58" s="13"/>
    </row>
    <row r="59" spans="2:13" ht="15.6" x14ac:dyDescent="0.3">
      <c r="B59" s="10"/>
      <c r="C59" s="169">
        <v>54</v>
      </c>
      <c r="D59" s="158">
        <f>'BASE DE DADOS'!E60</f>
        <v>0</v>
      </c>
      <c r="E59" s="159">
        <f>'BASE DE DADOS'!G60</f>
        <v>0</v>
      </c>
      <c r="F59" s="159">
        <f>'BASE DE DADOS'!I60</f>
        <v>0</v>
      </c>
      <c r="G59" s="172">
        <f>'BASE DE DADOS'!K60</f>
        <v>0</v>
      </c>
      <c r="H59" s="174">
        <f>'BASE DE DADOS'!M60</f>
        <v>0</v>
      </c>
      <c r="I59" s="174">
        <f>'BASE DE DADOS'!N60</f>
        <v>0</v>
      </c>
      <c r="J59" s="173">
        <f>'BASE DE DADOS'!P60</f>
        <v>0</v>
      </c>
      <c r="K59" s="173">
        <f>'BASE DE DADOS'!Q60</f>
        <v>0</v>
      </c>
      <c r="L59" s="158">
        <f>'BASE DE DADOS'!S60</f>
        <v>0</v>
      </c>
      <c r="M59" s="13"/>
    </row>
    <row r="60" spans="2:13" ht="15.6" x14ac:dyDescent="0.3">
      <c r="B60" s="10"/>
      <c r="C60" s="169">
        <v>55</v>
      </c>
      <c r="D60" s="158">
        <f>'BASE DE DADOS'!E61</f>
        <v>0</v>
      </c>
      <c r="E60" s="159">
        <f>'BASE DE DADOS'!G61</f>
        <v>0</v>
      </c>
      <c r="F60" s="159">
        <f>'BASE DE DADOS'!I61</f>
        <v>0</v>
      </c>
      <c r="G60" s="172">
        <f>'BASE DE DADOS'!K61</f>
        <v>0</v>
      </c>
      <c r="H60" s="174">
        <f>'BASE DE DADOS'!M61</f>
        <v>0</v>
      </c>
      <c r="I60" s="174">
        <f>'BASE DE DADOS'!N61</f>
        <v>0</v>
      </c>
      <c r="J60" s="173">
        <f>'BASE DE DADOS'!P61</f>
        <v>0</v>
      </c>
      <c r="K60" s="173">
        <f>'BASE DE DADOS'!Q61</f>
        <v>0</v>
      </c>
      <c r="L60" s="158">
        <f>'BASE DE DADOS'!S61</f>
        <v>0</v>
      </c>
      <c r="M60" s="13"/>
    </row>
    <row r="61" spans="2:13" ht="15.6" x14ac:dyDescent="0.3">
      <c r="B61" s="10"/>
      <c r="C61" s="169">
        <v>56</v>
      </c>
      <c r="D61" s="158">
        <f>'BASE DE DADOS'!E62</f>
        <v>0</v>
      </c>
      <c r="E61" s="159">
        <f>'BASE DE DADOS'!G62</f>
        <v>0</v>
      </c>
      <c r="F61" s="159">
        <f>'BASE DE DADOS'!I62</f>
        <v>0</v>
      </c>
      <c r="G61" s="172">
        <f>'BASE DE DADOS'!K62</f>
        <v>0</v>
      </c>
      <c r="H61" s="174">
        <f>'BASE DE DADOS'!M62</f>
        <v>0</v>
      </c>
      <c r="I61" s="174">
        <f>'BASE DE DADOS'!N62</f>
        <v>0</v>
      </c>
      <c r="J61" s="173">
        <f>'BASE DE DADOS'!P62</f>
        <v>0</v>
      </c>
      <c r="K61" s="173">
        <f>'BASE DE DADOS'!Q62</f>
        <v>0</v>
      </c>
      <c r="L61" s="158">
        <f>'BASE DE DADOS'!S62</f>
        <v>0</v>
      </c>
      <c r="M61" s="13"/>
    </row>
    <row r="62" spans="2:13" ht="15.6" x14ac:dyDescent="0.3">
      <c r="B62" s="10"/>
      <c r="C62" s="169">
        <v>57</v>
      </c>
      <c r="D62" s="158">
        <f>'BASE DE DADOS'!E63</f>
        <v>0</v>
      </c>
      <c r="E62" s="159">
        <f>'BASE DE DADOS'!G63</f>
        <v>0</v>
      </c>
      <c r="F62" s="159">
        <f>'BASE DE DADOS'!I63</f>
        <v>0</v>
      </c>
      <c r="G62" s="172">
        <f>'BASE DE DADOS'!K63</f>
        <v>0</v>
      </c>
      <c r="H62" s="174">
        <f>'BASE DE DADOS'!M63</f>
        <v>0</v>
      </c>
      <c r="I62" s="174">
        <f>'BASE DE DADOS'!N63</f>
        <v>0</v>
      </c>
      <c r="J62" s="173">
        <f>'BASE DE DADOS'!P63</f>
        <v>0</v>
      </c>
      <c r="K62" s="173">
        <f>'BASE DE DADOS'!Q63</f>
        <v>0</v>
      </c>
      <c r="L62" s="158">
        <f>'BASE DE DADOS'!S63</f>
        <v>0</v>
      </c>
      <c r="M62" s="13"/>
    </row>
    <row r="63" spans="2:13" ht="15.6" x14ac:dyDescent="0.3">
      <c r="B63" s="10"/>
      <c r="C63" s="169">
        <v>58</v>
      </c>
      <c r="D63" s="158">
        <f>'BASE DE DADOS'!E64</f>
        <v>0</v>
      </c>
      <c r="E63" s="159">
        <f>'BASE DE DADOS'!G64</f>
        <v>0</v>
      </c>
      <c r="F63" s="159">
        <f>'BASE DE DADOS'!I64</f>
        <v>0</v>
      </c>
      <c r="G63" s="172">
        <f>'BASE DE DADOS'!K64</f>
        <v>0</v>
      </c>
      <c r="H63" s="174">
        <f>'BASE DE DADOS'!M64</f>
        <v>0</v>
      </c>
      <c r="I63" s="174">
        <f>'BASE DE DADOS'!N64</f>
        <v>0</v>
      </c>
      <c r="J63" s="173">
        <f>'BASE DE DADOS'!P64</f>
        <v>0</v>
      </c>
      <c r="K63" s="173">
        <f>'BASE DE DADOS'!Q64</f>
        <v>0</v>
      </c>
      <c r="L63" s="158">
        <f>'BASE DE DADOS'!S64</f>
        <v>0</v>
      </c>
      <c r="M63" s="13"/>
    </row>
    <row r="64" spans="2:13" ht="15.6" x14ac:dyDescent="0.3">
      <c r="B64" s="10"/>
      <c r="C64" s="169">
        <v>59</v>
      </c>
      <c r="D64" s="158">
        <f>'BASE DE DADOS'!E65</f>
        <v>0</v>
      </c>
      <c r="E64" s="159">
        <f>'BASE DE DADOS'!G65</f>
        <v>0</v>
      </c>
      <c r="F64" s="159">
        <f>'BASE DE DADOS'!I65</f>
        <v>0</v>
      </c>
      <c r="G64" s="172">
        <f>'BASE DE DADOS'!K65</f>
        <v>0</v>
      </c>
      <c r="H64" s="174">
        <f>'BASE DE DADOS'!M65</f>
        <v>0</v>
      </c>
      <c r="I64" s="174">
        <f>'BASE DE DADOS'!N65</f>
        <v>0</v>
      </c>
      <c r="J64" s="173">
        <f>'BASE DE DADOS'!P65</f>
        <v>0</v>
      </c>
      <c r="K64" s="173">
        <f>'BASE DE DADOS'!Q65</f>
        <v>0</v>
      </c>
      <c r="L64" s="158">
        <f>'BASE DE DADOS'!S65</f>
        <v>0</v>
      </c>
      <c r="M64" s="13"/>
    </row>
    <row r="65" spans="2:13" ht="15.6" x14ac:dyDescent="0.3">
      <c r="B65" s="10"/>
      <c r="C65" s="169">
        <v>60</v>
      </c>
      <c r="D65" s="158">
        <f>'BASE DE DADOS'!E66</f>
        <v>0</v>
      </c>
      <c r="E65" s="159">
        <f>'BASE DE DADOS'!G66</f>
        <v>0</v>
      </c>
      <c r="F65" s="159">
        <f>'BASE DE DADOS'!I66</f>
        <v>0</v>
      </c>
      <c r="G65" s="172">
        <f>'BASE DE DADOS'!K66</f>
        <v>0</v>
      </c>
      <c r="H65" s="174">
        <f>'BASE DE DADOS'!M66</f>
        <v>0</v>
      </c>
      <c r="I65" s="174">
        <f>'BASE DE DADOS'!N66</f>
        <v>0</v>
      </c>
      <c r="J65" s="173">
        <f>'BASE DE DADOS'!P66</f>
        <v>0</v>
      </c>
      <c r="K65" s="173">
        <f>'BASE DE DADOS'!Q66</f>
        <v>0</v>
      </c>
      <c r="L65" s="158">
        <f>'BASE DE DADOS'!S66</f>
        <v>0</v>
      </c>
      <c r="M65" s="13"/>
    </row>
    <row r="66" spans="2:13" ht="15.6" x14ac:dyDescent="0.3">
      <c r="B66" s="10"/>
      <c r="C66" s="169">
        <v>61</v>
      </c>
      <c r="D66" s="158">
        <f>'BASE DE DADOS'!E67</f>
        <v>0</v>
      </c>
      <c r="E66" s="159">
        <f>'BASE DE DADOS'!G67</f>
        <v>0</v>
      </c>
      <c r="F66" s="159">
        <f>'BASE DE DADOS'!I67</f>
        <v>0</v>
      </c>
      <c r="G66" s="172">
        <f>'BASE DE DADOS'!K67</f>
        <v>0</v>
      </c>
      <c r="H66" s="174">
        <f>'BASE DE DADOS'!M67</f>
        <v>0</v>
      </c>
      <c r="I66" s="174">
        <f>'BASE DE DADOS'!N67</f>
        <v>0</v>
      </c>
      <c r="J66" s="173">
        <f>'BASE DE DADOS'!P67</f>
        <v>0</v>
      </c>
      <c r="K66" s="173">
        <f>'BASE DE DADOS'!Q67</f>
        <v>0</v>
      </c>
      <c r="L66" s="158">
        <f>'BASE DE DADOS'!S67</f>
        <v>0</v>
      </c>
      <c r="M66" s="13"/>
    </row>
    <row r="67" spans="2:13" ht="15.6" x14ac:dyDescent="0.3">
      <c r="B67" s="10"/>
      <c r="C67" s="169">
        <v>62</v>
      </c>
      <c r="D67" s="158">
        <f>'BASE DE DADOS'!E68</f>
        <v>0</v>
      </c>
      <c r="E67" s="159">
        <f>'BASE DE DADOS'!G68</f>
        <v>0</v>
      </c>
      <c r="F67" s="159">
        <f>'BASE DE DADOS'!I68</f>
        <v>0</v>
      </c>
      <c r="G67" s="172">
        <f>'BASE DE DADOS'!K68</f>
        <v>0</v>
      </c>
      <c r="H67" s="174">
        <f>'BASE DE DADOS'!M68</f>
        <v>0</v>
      </c>
      <c r="I67" s="174">
        <f>'BASE DE DADOS'!N68</f>
        <v>0</v>
      </c>
      <c r="J67" s="173">
        <f>'BASE DE DADOS'!P68</f>
        <v>0</v>
      </c>
      <c r="K67" s="173">
        <f>'BASE DE DADOS'!Q68</f>
        <v>0</v>
      </c>
      <c r="L67" s="158">
        <f>'BASE DE DADOS'!S68</f>
        <v>0</v>
      </c>
      <c r="M67" s="13"/>
    </row>
    <row r="68" spans="2:13" ht="15.6" x14ac:dyDescent="0.3">
      <c r="B68" s="10"/>
      <c r="C68" s="169">
        <v>63</v>
      </c>
      <c r="D68" s="158">
        <f>'BASE DE DADOS'!E69</f>
        <v>0</v>
      </c>
      <c r="E68" s="159">
        <f>'BASE DE DADOS'!G69</f>
        <v>0</v>
      </c>
      <c r="F68" s="159">
        <f>'BASE DE DADOS'!I69</f>
        <v>0</v>
      </c>
      <c r="G68" s="172">
        <f>'BASE DE DADOS'!K69</f>
        <v>0</v>
      </c>
      <c r="H68" s="174">
        <f>'BASE DE DADOS'!M69</f>
        <v>0</v>
      </c>
      <c r="I68" s="174">
        <f>'BASE DE DADOS'!N69</f>
        <v>0</v>
      </c>
      <c r="J68" s="173">
        <f>'BASE DE DADOS'!P69</f>
        <v>0</v>
      </c>
      <c r="K68" s="173">
        <f>'BASE DE DADOS'!Q69</f>
        <v>0</v>
      </c>
      <c r="L68" s="158">
        <f>'BASE DE DADOS'!S69</f>
        <v>0</v>
      </c>
      <c r="M68" s="13"/>
    </row>
    <row r="69" spans="2:13" ht="15.6" x14ac:dyDescent="0.3">
      <c r="B69" s="10"/>
      <c r="C69" s="169">
        <v>64</v>
      </c>
      <c r="D69" s="158">
        <f>'BASE DE DADOS'!E70</f>
        <v>0</v>
      </c>
      <c r="E69" s="159">
        <f>'BASE DE DADOS'!G70</f>
        <v>0</v>
      </c>
      <c r="F69" s="159">
        <f>'BASE DE DADOS'!I70</f>
        <v>0</v>
      </c>
      <c r="G69" s="172">
        <f>'BASE DE DADOS'!K70</f>
        <v>0</v>
      </c>
      <c r="H69" s="174">
        <f>'BASE DE DADOS'!M70</f>
        <v>0</v>
      </c>
      <c r="I69" s="174">
        <f>'BASE DE DADOS'!N70</f>
        <v>0</v>
      </c>
      <c r="J69" s="173">
        <f>'BASE DE DADOS'!P70</f>
        <v>0</v>
      </c>
      <c r="K69" s="173">
        <f>'BASE DE DADOS'!Q70</f>
        <v>0</v>
      </c>
      <c r="L69" s="158">
        <f>'BASE DE DADOS'!S70</f>
        <v>0</v>
      </c>
      <c r="M69" s="13"/>
    </row>
    <row r="70" spans="2:13" ht="15.6" x14ac:dyDescent="0.3">
      <c r="B70" s="10"/>
      <c r="C70" s="169">
        <v>65</v>
      </c>
      <c r="D70" s="158">
        <f>'BASE DE DADOS'!E71</f>
        <v>0</v>
      </c>
      <c r="E70" s="159">
        <f>'BASE DE DADOS'!G71</f>
        <v>0</v>
      </c>
      <c r="F70" s="159">
        <f>'BASE DE DADOS'!I71</f>
        <v>0</v>
      </c>
      <c r="G70" s="172">
        <f>'BASE DE DADOS'!K71</f>
        <v>0</v>
      </c>
      <c r="H70" s="174">
        <f>'BASE DE DADOS'!M71</f>
        <v>0</v>
      </c>
      <c r="I70" s="174">
        <f>'BASE DE DADOS'!N71</f>
        <v>0</v>
      </c>
      <c r="J70" s="173">
        <f>'BASE DE DADOS'!P71</f>
        <v>0</v>
      </c>
      <c r="K70" s="173">
        <f>'BASE DE DADOS'!Q71</f>
        <v>0</v>
      </c>
      <c r="L70" s="158">
        <f>'BASE DE DADOS'!S71</f>
        <v>0</v>
      </c>
      <c r="M70" s="13"/>
    </row>
    <row r="71" spans="2:13" ht="15.6" x14ac:dyDescent="0.3">
      <c r="B71" s="10"/>
      <c r="C71" s="169">
        <v>66</v>
      </c>
      <c r="D71" s="158">
        <f>'BASE DE DADOS'!E72</f>
        <v>0</v>
      </c>
      <c r="E71" s="159">
        <f>'BASE DE DADOS'!G72</f>
        <v>0</v>
      </c>
      <c r="F71" s="159">
        <f>'BASE DE DADOS'!I72</f>
        <v>0</v>
      </c>
      <c r="G71" s="172">
        <f>'BASE DE DADOS'!K72</f>
        <v>0</v>
      </c>
      <c r="H71" s="174">
        <f>'BASE DE DADOS'!M72</f>
        <v>0</v>
      </c>
      <c r="I71" s="174">
        <f>'BASE DE DADOS'!N72</f>
        <v>0</v>
      </c>
      <c r="J71" s="173">
        <f>'BASE DE DADOS'!P72</f>
        <v>0</v>
      </c>
      <c r="K71" s="173">
        <f>'BASE DE DADOS'!Q72</f>
        <v>0</v>
      </c>
      <c r="L71" s="158">
        <f>'BASE DE DADOS'!S72</f>
        <v>0</v>
      </c>
      <c r="M71" s="13"/>
    </row>
    <row r="72" spans="2:13" ht="15.6" x14ac:dyDescent="0.3">
      <c r="B72" s="10"/>
      <c r="C72" s="169">
        <v>67</v>
      </c>
      <c r="D72" s="158">
        <f>'BASE DE DADOS'!E73</f>
        <v>0</v>
      </c>
      <c r="E72" s="159">
        <f>'BASE DE DADOS'!G73</f>
        <v>0</v>
      </c>
      <c r="F72" s="159">
        <f>'BASE DE DADOS'!I73</f>
        <v>0</v>
      </c>
      <c r="G72" s="172">
        <f>'BASE DE DADOS'!K73</f>
        <v>0</v>
      </c>
      <c r="H72" s="174">
        <f>'BASE DE DADOS'!M73</f>
        <v>0</v>
      </c>
      <c r="I72" s="174">
        <f>'BASE DE DADOS'!N73</f>
        <v>0</v>
      </c>
      <c r="J72" s="173">
        <f>'BASE DE DADOS'!P73</f>
        <v>0</v>
      </c>
      <c r="K72" s="173">
        <f>'BASE DE DADOS'!Q73</f>
        <v>0</v>
      </c>
      <c r="L72" s="158">
        <f>'BASE DE DADOS'!S73</f>
        <v>0</v>
      </c>
      <c r="M72" s="13"/>
    </row>
    <row r="73" spans="2:13" ht="15.6" x14ac:dyDescent="0.3">
      <c r="B73" s="10"/>
      <c r="C73" s="169">
        <v>68</v>
      </c>
      <c r="D73" s="158">
        <f>'BASE DE DADOS'!E74</f>
        <v>0</v>
      </c>
      <c r="E73" s="159">
        <f>'BASE DE DADOS'!G74</f>
        <v>0</v>
      </c>
      <c r="F73" s="159">
        <f>'BASE DE DADOS'!I74</f>
        <v>0</v>
      </c>
      <c r="G73" s="172">
        <f>'BASE DE DADOS'!K74</f>
        <v>0</v>
      </c>
      <c r="H73" s="174">
        <f>'BASE DE DADOS'!M74</f>
        <v>0</v>
      </c>
      <c r="I73" s="174">
        <f>'BASE DE DADOS'!N74</f>
        <v>0</v>
      </c>
      <c r="J73" s="173">
        <f>'BASE DE DADOS'!P74</f>
        <v>0</v>
      </c>
      <c r="K73" s="173">
        <f>'BASE DE DADOS'!Q74</f>
        <v>0</v>
      </c>
      <c r="L73" s="158">
        <f>'BASE DE DADOS'!S74</f>
        <v>0</v>
      </c>
      <c r="M73" s="13"/>
    </row>
    <row r="74" spans="2:13" ht="15.6" x14ac:dyDescent="0.3">
      <c r="B74" s="10"/>
      <c r="C74" s="169">
        <v>69</v>
      </c>
      <c r="D74" s="158">
        <f>'BASE DE DADOS'!E75</f>
        <v>0</v>
      </c>
      <c r="E74" s="159">
        <f>'BASE DE DADOS'!G75</f>
        <v>0</v>
      </c>
      <c r="F74" s="159">
        <f>'BASE DE DADOS'!I75</f>
        <v>0</v>
      </c>
      <c r="G74" s="172">
        <f>'BASE DE DADOS'!K75</f>
        <v>0</v>
      </c>
      <c r="H74" s="174">
        <f>'BASE DE DADOS'!M75</f>
        <v>0</v>
      </c>
      <c r="I74" s="174">
        <f>'BASE DE DADOS'!N75</f>
        <v>0</v>
      </c>
      <c r="J74" s="173">
        <f>'BASE DE DADOS'!P75</f>
        <v>0</v>
      </c>
      <c r="K74" s="173">
        <f>'BASE DE DADOS'!Q75</f>
        <v>0</v>
      </c>
      <c r="L74" s="158">
        <f>'BASE DE DADOS'!S75</f>
        <v>0</v>
      </c>
      <c r="M74" s="13"/>
    </row>
    <row r="75" spans="2:13" ht="15.6" x14ac:dyDescent="0.3">
      <c r="B75" s="10"/>
      <c r="C75" s="169">
        <v>70</v>
      </c>
      <c r="D75" s="158">
        <f>'BASE DE DADOS'!E76</f>
        <v>0</v>
      </c>
      <c r="E75" s="159">
        <f>'BASE DE DADOS'!G76</f>
        <v>0</v>
      </c>
      <c r="F75" s="159">
        <f>'BASE DE DADOS'!I76</f>
        <v>0</v>
      </c>
      <c r="G75" s="172">
        <f>'BASE DE DADOS'!K76</f>
        <v>0</v>
      </c>
      <c r="H75" s="174">
        <f>'BASE DE DADOS'!M76</f>
        <v>0</v>
      </c>
      <c r="I75" s="174">
        <f>'BASE DE DADOS'!N76</f>
        <v>0</v>
      </c>
      <c r="J75" s="173">
        <f>'BASE DE DADOS'!P76</f>
        <v>0</v>
      </c>
      <c r="K75" s="173">
        <f>'BASE DE DADOS'!Q76</f>
        <v>0</v>
      </c>
      <c r="L75" s="158">
        <f>'BASE DE DADOS'!S76</f>
        <v>0</v>
      </c>
      <c r="M75" s="13"/>
    </row>
    <row r="76" spans="2:13" ht="15.6" x14ac:dyDescent="0.3">
      <c r="B76" s="10"/>
      <c r="C76" s="169">
        <v>71</v>
      </c>
      <c r="D76" s="158">
        <f>'BASE DE DADOS'!E77</f>
        <v>0</v>
      </c>
      <c r="E76" s="159">
        <f>'BASE DE DADOS'!G77</f>
        <v>0</v>
      </c>
      <c r="F76" s="159">
        <f>'BASE DE DADOS'!I77</f>
        <v>0</v>
      </c>
      <c r="G76" s="172">
        <f>'BASE DE DADOS'!K77</f>
        <v>0</v>
      </c>
      <c r="H76" s="174">
        <f>'BASE DE DADOS'!M77</f>
        <v>0</v>
      </c>
      <c r="I76" s="174">
        <f>'BASE DE DADOS'!N77</f>
        <v>0</v>
      </c>
      <c r="J76" s="173">
        <f>'BASE DE DADOS'!P77</f>
        <v>0</v>
      </c>
      <c r="K76" s="173">
        <f>'BASE DE DADOS'!Q77</f>
        <v>0</v>
      </c>
      <c r="L76" s="158">
        <f>'BASE DE DADOS'!S77</f>
        <v>0</v>
      </c>
      <c r="M76" s="13"/>
    </row>
    <row r="77" spans="2:13" ht="15.6" x14ac:dyDescent="0.3">
      <c r="B77" s="10"/>
      <c r="C77" s="169">
        <v>72</v>
      </c>
      <c r="D77" s="158">
        <f>'BASE DE DADOS'!E78</f>
        <v>0</v>
      </c>
      <c r="E77" s="159">
        <f>'BASE DE DADOS'!G78</f>
        <v>0</v>
      </c>
      <c r="F77" s="159">
        <f>'BASE DE DADOS'!I78</f>
        <v>0</v>
      </c>
      <c r="G77" s="172">
        <f>'BASE DE DADOS'!K78</f>
        <v>0</v>
      </c>
      <c r="H77" s="174">
        <f>'BASE DE DADOS'!M78</f>
        <v>0</v>
      </c>
      <c r="I77" s="174">
        <f>'BASE DE DADOS'!N78</f>
        <v>0</v>
      </c>
      <c r="J77" s="173">
        <f>'BASE DE DADOS'!P78</f>
        <v>0</v>
      </c>
      <c r="K77" s="173">
        <f>'BASE DE DADOS'!Q78</f>
        <v>0</v>
      </c>
      <c r="L77" s="158">
        <f>'BASE DE DADOS'!S78</f>
        <v>0</v>
      </c>
      <c r="M77" s="13"/>
    </row>
    <row r="78" spans="2:13" ht="15.6" x14ac:dyDescent="0.3">
      <c r="B78" s="10"/>
      <c r="C78" s="169">
        <v>73</v>
      </c>
      <c r="D78" s="158">
        <f>'BASE DE DADOS'!E79</f>
        <v>0</v>
      </c>
      <c r="E78" s="159">
        <f>'BASE DE DADOS'!G79</f>
        <v>0</v>
      </c>
      <c r="F78" s="159">
        <f>'BASE DE DADOS'!I79</f>
        <v>0</v>
      </c>
      <c r="G78" s="172">
        <f>'BASE DE DADOS'!K79</f>
        <v>0</v>
      </c>
      <c r="H78" s="174">
        <f>'BASE DE DADOS'!M79</f>
        <v>0</v>
      </c>
      <c r="I78" s="174">
        <f>'BASE DE DADOS'!N79</f>
        <v>0</v>
      </c>
      <c r="J78" s="173">
        <f>'BASE DE DADOS'!P79</f>
        <v>0</v>
      </c>
      <c r="K78" s="173">
        <f>'BASE DE DADOS'!Q79</f>
        <v>0</v>
      </c>
      <c r="L78" s="158">
        <f>'BASE DE DADOS'!S79</f>
        <v>0</v>
      </c>
      <c r="M78" s="13"/>
    </row>
    <row r="79" spans="2:13" ht="15.6" x14ac:dyDescent="0.3">
      <c r="B79" s="10"/>
      <c r="C79" s="169">
        <v>74</v>
      </c>
      <c r="D79" s="158">
        <f>'BASE DE DADOS'!E80</f>
        <v>0</v>
      </c>
      <c r="E79" s="159">
        <f>'BASE DE DADOS'!G80</f>
        <v>0</v>
      </c>
      <c r="F79" s="159">
        <f>'BASE DE DADOS'!I80</f>
        <v>0</v>
      </c>
      <c r="G79" s="172">
        <f>'BASE DE DADOS'!K80</f>
        <v>0</v>
      </c>
      <c r="H79" s="174">
        <f>'BASE DE DADOS'!M80</f>
        <v>0</v>
      </c>
      <c r="I79" s="174">
        <f>'BASE DE DADOS'!N80</f>
        <v>0</v>
      </c>
      <c r="J79" s="173">
        <f>'BASE DE DADOS'!P80</f>
        <v>0</v>
      </c>
      <c r="K79" s="173">
        <f>'BASE DE DADOS'!Q80</f>
        <v>0</v>
      </c>
      <c r="L79" s="158">
        <f>'BASE DE DADOS'!S80</f>
        <v>0</v>
      </c>
      <c r="M79" s="13"/>
    </row>
    <row r="80" spans="2:13" ht="15.6" x14ac:dyDescent="0.3">
      <c r="B80" s="10"/>
      <c r="C80" s="169">
        <v>75</v>
      </c>
      <c r="D80" s="158">
        <f>'BASE DE DADOS'!E81</f>
        <v>0</v>
      </c>
      <c r="E80" s="159">
        <f>'BASE DE DADOS'!G81</f>
        <v>0</v>
      </c>
      <c r="F80" s="159">
        <f>'BASE DE DADOS'!I81</f>
        <v>0</v>
      </c>
      <c r="G80" s="172">
        <f>'BASE DE DADOS'!K81</f>
        <v>0</v>
      </c>
      <c r="H80" s="174">
        <f>'BASE DE DADOS'!M81</f>
        <v>0</v>
      </c>
      <c r="I80" s="174">
        <f>'BASE DE DADOS'!N81</f>
        <v>0</v>
      </c>
      <c r="J80" s="173">
        <f>'BASE DE DADOS'!P81</f>
        <v>0</v>
      </c>
      <c r="K80" s="173">
        <f>'BASE DE DADOS'!Q81</f>
        <v>0</v>
      </c>
      <c r="L80" s="158">
        <f>'BASE DE DADOS'!S81</f>
        <v>0</v>
      </c>
      <c r="M80" s="13"/>
    </row>
    <row r="81" spans="2:13" ht="15.6" x14ac:dyDescent="0.3">
      <c r="B81" s="10"/>
      <c r="C81" s="169">
        <v>76</v>
      </c>
      <c r="D81" s="158">
        <f>'BASE DE DADOS'!E82</f>
        <v>0</v>
      </c>
      <c r="E81" s="159">
        <f>'BASE DE DADOS'!G82</f>
        <v>0</v>
      </c>
      <c r="F81" s="159">
        <f>'BASE DE DADOS'!I82</f>
        <v>0</v>
      </c>
      <c r="G81" s="172">
        <f>'BASE DE DADOS'!K82</f>
        <v>0</v>
      </c>
      <c r="H81" s="174">
        <f>'BASE DE DADOS'!M82</f>
        <v>0</v>
      </c>
      <c r="I81" s="174">
        <f>'BASE DE DADOS'!N82</f>
        <v>0</v>
      </c>
      <c r="J81" s="173">
        <f>'BASE DE DADOS'!P82</f>
        <v>0</v>
      </c>
      <c r="K81" s="173">
        <f>'BASE DE DADOS'!Q82</f>
        <v>0</v>
      </c>
      <c r="L81" s="158">
        <f>'BASE DE DADOS'!S82</f>
        <v>0</v>
      </c>
      <c r="M81" s="13"/>
    </row>
    <row r="82" spans="2:13" ht="15.6" x14ac:dyDescent="0.3">
      <c r="B82" s="10"/>
      <c r="C82" s="169">
        <v>77</v>
      </c>
      <c r="D82" s="158">
        <f>'BASE DE DADOS'!E83</f>
        <v>0</v>
      </c>
      <c r="E82" s="159">
        <f>'BASE DE DADOS'!G83</f>
        <v>0</v>
      </c>
      <c r="F82" s="159">
        <f>'BASE DE DADOS'!I83</f>
        <v>0</v>
      </c>
      <c r="G82" s="172">
        <f>'BASE DE DADOS'!K83</f>
        <v>0</v>
      </c>
      <c r="H82" s="174">
        <f>'BASE DE DADOS'!M83</f>
        <v>0</v>
      </c>
      <c r="I82" s="174">
        <f>'BASE DE DADOS'!N83</f>
        <v>0</v>
      </c>
      <c r="J82" s="173">
        <f>'BASE DE DADOS'!P83</f>
        <v>0</v>
      </c>
      <c r="K82" s="173">
        <f>'BASE DE DADOS'!Q83</f>
        <v>0</v>
      </c>
      <c r="L82" s="158">
        <f>'BASE DE DADOS'!S83</f>
        <v>0</v>
      </c>
      <c r="M82" s="13"/>
    </row>
    <row r="83" spans="2:13" ht="15.6" x14ac:dyDescent="0.3">
      <c r="B83" s="10"/>
      <c r="C83" s="169">
        <v>78</v>
      </c>
      <c r="D83" s="158">
        <f>'BASE DE DADOS'!E84</f>
        <v>0</v>
      </c>
      <c r="E83" s="159">
        <f>'BASE DE DADOS'!G84</f>
        <v>0</v>
      </c>
      <c r="F83" s="159">
        <f>'BASE DE DADOS'!I84</f>
        <v>0</v>
      </c>
      <c r="G83" s="172">
        <f>'BASE DE DADOS'!K84</f>
        <v>0</v>
      </c>
      <c r="H83" s="174">
        <f>'BASE DE DADOS'!M84</f>
        <v>0</v>
      </c>
      <c r="I83" s="174">
        <f>'BASE DE DADOS'!N84</f>
        <v>0</v>
      </c>
      <c r="J83" s="173">
        <f>'BASE DE DADOS'!P84</f>
        <v>0</v>
      </c>
      <c r="K83" s="173">
        <f>'BASE DE DADOS'!Q84</f>
        <v>0</v>
      </c>
      <c r="L83" s="158">
        <f>'BASE DE DADOS'!S84</f>
        <v>0</v>
      </c>
      <c r="M83" s="13"/>
    </row>
    <row r="84" spans="2:13" ht="15.6" x14ac:dyDescent="0.3">
      <c r="B84" s="10"/>
      <c r="C84" s="169">
        <v>79</v>
      </c>
      <c r="D84" s="158">
        <f>'BASE DE DADOS'!E85</f>
        <v>0</v>
      </c>
      <c r="E84" s="159">
        <f>'BASE DE DADOS'!G85</f>
        <v>0</v>
      </c>
      <c r="F84" s="159">
        <f>'BASE DE DADOS'!I85</f>
        <v>0</v>
      </c>
      <c r="G84" s="172">
        <f>'BASE DE DADOS'!K85</f>
        <v>0</v>
      </c>
      <c r="H84" s="174">
        <f>'BASE DE DADOS'!M85</f>
        <v>0</v>
      </c>
      <c r="I84" s="174">
        <f>'BASE DE DADOS'!N85</f>
        <v>0</v>
      </c>
      <c r="J84" s="173">
        <f>'BASE DE DADOS'!P85</f>
        <v>0</v>
      </c>
      <c r="K84" s="173">
        <f>'BASE DE DADOS'!Q85</f>
        <v>0</v>
      </c>
      <c r="L84" s="158">
        <f>'BASE DE DADOS'!S85</f>
        <v>0</v>
      </c>
      <c r="M84" s="13"/>
    </row>
    <row r="85" spans="2:13" ht="15.6" x14ac:dyDescent="0.3">
      <c r="B85" s="10"/>
      <c r="C85" s="169">
        <v>80</v>
      </c>
      <c r="D85" s="158">
        <f>'BASE DE DADOS'!E86</f>
        <v>0</v>
      </c>
      <c r="E85" s="159">
        <f>'BASE DE DADOS'!G86</f>
        <v>0</v>
      </c>
      <c r="F85" s="159">
        <f>'BASE DE DADOS'!I86</f>
        <v>0</v>
      </c>
      <c r="G85" s="172">
        <f>'BASE DE DADOS'!K86</f>
        <v>0</v>
      </c>
      <c r="H85" s="174">
        <f>'BASE DE DADOS'!M86</f>
        <v>0</v>
      </c>
      <c r="I85" s="174">
        <f>'BASE DE DADOS'!N86</f>
        <v>0</v>
      </c>
      <c r="J85" s="173">
        <f>'BASE DE DADOS'!P86</f>
        <v>0</v>
      </c>
      <c r="K85" s="173">
        <f>'BASE DE DADOS'!Q86</f>
        <v>0</v>
      </c>
      <c r="L85" s="158">
        <f>'BASE DE DADOS'!S86</f>
        <v>0</v>
      </c>
      <c r="M85" s="13"/>
    </row>
    <row r="86" spans="2:13" ht="15.6" x14ac:dyDescent="0.3">
      <c r="B86" s="10"/>
      <c r="C86" s="169">
        <v>81</v>
      </c>
      <c r="D86" s="158">
        <f>'BASE DE DADOS'!E87</f>
        <v>0</v>
      </c>
      <c r="E86" s="159">
        <f>'BASE DE DADOS'!G87</f>
        <v>0</v>
      </c>
      <c r="F86" s="159">
        <f>'BASE DE DADOS'!I87</f>
        <v>0</v>
      </c>
      <c r="G86" s="172">
        <f>'BASE DE DADOS'!K87</f>
        <v>0</v>
      </c>
      <c r="H86" s="174">
        <f>'BASE DE DADOS'!M87</f>
        <v>0</v>
      </c>
      <c r="I86" s="174">
        <f>'BASE DE DADOS'!N87</f>
        <v>0</v>
      </c>
      <c r="J86" s="173">
        <f>'BASE DE DADOS'!P87</f>
        <v>0</v>
      </c>
      <c r="K86" s="173">
        <f>'BASE DE DADOS'!Q87</f>
        <v>0</v>
      </c>
      <c r="L86" s="158">
        <f>'BASE DE DADOS'!S87</f>
        <v>0</v>
      </c>
      <c r="M86" s="13"/>
    </row>
    <row r="87" spans="2:13" ht="15.6" x14ac:dyDescent="0.3">
      <c r="B87" s="10"/>
      <c r="C87" s="169">
        <v>82</v>
      </c>
      <c r="D87" s="158">
        <f>'BASE DE DADOS'!E88</f>
        <v>0</v>
      </c>
      <c r="E87" s="159">
        <f>'BASE DE DADOS'!G88</f>
        <v>0</v>
      </c>
      <c r="F87" s="159">
        <f>'BASE DE DADOS'!I88</f>
        <v>0</v>
      </c>
      <c r="G87" s="172">
        <f>'BASE DE DADOS'!K88</f>
        <v>0</v>
      </c>
      <c r="H87" s="174">
        <f>'BASE DE DADOS'!M88</f>
        <v>0</v>
      </c>
      <c r="I87" s="174">
        <f>'BASE DE DADOS'!N88</f>
        <v>0</v>
      </c>
      <c r="J87" s="173">
        <f>'BASE DE DADOS'!P88</f>
        <v>0</v>
      </c>
      <c r="K87" s="173">
        <f>'BASE DE DADOS'!Q88</f>
        <v>0</v>
      </c>
      <c r="L87" s="158">
        <f>'BASE DE DADOS'!S88</f>
        <v>0</v>
      </c>
      <c r="M87" s="13"/>
    </row>
    <row r="88" spans="2:13" ht="15.6" x14ac:dyDescent="0.3">
      <c r="B88" s="10"/>
      <c r="C88" s="169">
        <v>83</v>
      </c>
      <c r="D88" s="158">
        <f>'BASE DE DADOS'!E89</f>
        <v>0</v>
      </c>
      <c r="E88" s="159">
        <f>'BASE DE DADOS'!G89</f>
        <v>0</v>
      </c>
      <c r="F88" s="159">
        <f>'BASE DE DADOS'!I89</f>
        <v>0</v>
      </c>
      <c r="G88" s="172">
        <f>'BASE DE DADOS'!K89</f>
        <v>0</v>
      </c>
      <c r="H88" s="174">
        <f>'BASE DE DADOS'!M89</f>
        <v>0</v>
      </c>
      <c r="I88" s="174">
        <f>'BASE DE DADOS'!N89</f>
        <v>0</v>
      </c>
      <c r="J88" s="173">
        <f>'BASE DE DADOS'!P89</f>
        <v>0</v>
      </c>
      <c r="K88" s="173">
        <f>'BASE DE DADOS'!Q89</f>
        <v>0</v>
      </c>
      <c r="L88" s="158">
        <f>'BASE DE DADOS'!S89</f>
        <v>0</v>
      </c>
      <c r="M88" s="13"/>
    </row>
    <row r="89" spans="2:13" ht="15.6" x14ac:dyDescent="0.3">
      <c r="B89" s="10"/>
      <c r="C89" s="169">
        <v>84</v>
      </c>
      <c r="D89" s="158">
        <f>'BASE DE DADOS'!E90</f>
        <v>0</v>
      </c>
      <c r="E89" s="159">
        <f>'BASE DE DADOS'!G90</f>
        <v>0</v>
      </c>
      <c r="F89" s="159">
        <f>'BASE DE DADOS'!I90</f>
        <v>0</v>
      </c>
      <c r="G89" s="172">
        <f>'BASE DE DADOS'!K90</f>
        <v>0</v>
      </c>
      <c r="H89" s="174">
        <f>'BASE DE DADOS'!M90</f>
        <v>0</v>
      </c>
      <c r="I89" s="174">
        <f>'BASE DE DADOS'!N90</f>
        <v>0</v>
      </c>
      <c r="J89" s="173">
        <f>'BASE DE DADOS'!P90</f>
        <v>0</v>
      </c>
      <c r="K89" s="173">
        <f>'BASE DE DADOS'!Q90</f>
        <v>0</v>
      </c>
      <c r="L89" s="158">
        <f>'BASE DE DADOS'!S90</f>
        <v>0</v>
      </c>
      <c r="M89" s="13"/>
    </row>
    <row r="90" spans="2:13" ht="15.6" x14ac:dyDescent="0.3">
      <c r="B90" s="10"/>
      <c r="C90" s="169">
        <v>85</v>
      </c>
      <c r="D90" s="158">
        <f>'BASE DE DADOS'!E91</f>
        <v>0</v>
      </c>
      <c r="E90" s="159">
        <f>'BASE DE DADOS'!G91</f>
        <v>0</v>
      </c>
      <c r="F90" s="159">
        <f>'BASE DE DADOS'!I91</f>
        <v>0</v>
      </c>
      <c r="G90" s="172">
        <f>'BASE DE DADOS'!K91</f>
        <v>0</v>
      </c>
      <c r="H90" s="174">
        <f>'BASE DE DADOS'!M91</f>
        <v>0</v>
      </c>
      <c r="I90" s="174">
        <f>'BASE DE DADOS'!N91</f>
        <v>0</v>
      </c>
      <c r="J90" s="173">
        <f>'BASE DE DADOS'!P91</f>
        <v>0</v>
      </c>
      <c r="K90" s="173">
        <f>'BASE DE DADOS'!Q91</f>
        <v>0</v>
      </c>
      <c r="L90" s="158">
        <f>'BASE DE DADOS'!S91</f>
        <v>0</v>
      </c>
      <c r="M90" s="13"/>
    </row>
    <row r="91" spans="2:13" ht="15.6" x14ac:dyDescent="0.3">
      <c r="B91" s="10"/>
      <c r="C91" s="169">
        <v>86</v>
      </c>
      <c r="D91" s="158">
        <f>'BASE DE DADOS'!E92</f>
        <v>0</v>
      </c>
      <c r="E91" s="159">
        <f>'BASE DE DADOS'!G92</f>
        <v>0</v>
      </c>
      <c r="F91" s="159">
        <f>'BASE DE DADOS'!I92</f>
        <v>0</v>
      </c>
      <c r="G91" s="172">
        <f>'BASE DE DADOS'!K92</f>
        <v>0</v>
      </c>
      <c r="H91" s="174">
        <f>'BASE DE DADOS'!M92</f>
        <v>0</v>
      </c>
      <c r="I91" s="174">
        <f>'BASE DE DADOS'!N92</f>
        <v>0</v>
      </c>
      <c r="J91" s="173">
        <f>'BASE DE DADOS'!P92</f>
        <v>0</v>
      </c>
      <c r="K91" s="173">
        <f>'BASE DE DADOS'!Q92</f>
        <v>0</v>
      </c>
      <c r="L91" s="158">
        <f>'BASE DE DADOS'!S92</f>
        <v>0</v>
      </c>
      <c r="M91" s="13"/>
    </row>
    <row r="92" spans="2:13" ht="15.6" x14ac:dyDescent="0.3">
      <c r="B92" s="10"/>
      <c r="C92" s="169">
        <v>87</v>
      </c>
      <c r="D92" s="158">
        <f>'BASE DE DADOS'!E93</f>
        <v>0</v>
      </c>
      <c r="E92" s="159">
        <f>'BASE DE DADOS'!G93</f>
        <v>0</v>
      </c>
      <c r="F92" s="159">
        <f>'BASE DE DADOS'!I93</f>
        <v>0</v>
      </c>
      <c r="G92" s="172">
        <f>'BASE DE DADOS'!K93</f>
        <v>0</v>
      </c>
      <c r="H92" s="174">
        <f>'BASE DE DADOS'!M93</f>
        <v>0</v>
      </c>
      <c r="I92" s="174">
        <f>'BASE DE DADOS'!N93</f>
        <v>0</v>
      </c>
      <c r="J92" s="173">
        <f>'BASE DE DADOS'!P93</f>
        <v>0</v>
      </c>
      <c r="K92" s="173">
        <f>'BASE DE DADOS'!Q93</f>
        <v>0</v>
      </c>
      <c r="L92" s="158">
        <f>'BASE DE DADOS'!S93</f>
        <v>0</v>
      </c>
      <c r="M92" s="13"/>
    </row>
    <row r="93" spans="2:13" ht="15.6" x14ac:dyDescent="0.3">
      <c r="B93" s="10"/>
      <c r="C93" s="169">
        <v>88</v>
      </c>
      <c r="D93" s="158">
        <f>'BASE DE DADOS'!E94</f>
        <v>0</v>
      </c>
      <c r="E93" s="159">
        <f>'BASE DE DADOS'!G94</f>
        <v>0</v>
      </c>
      <c r="F93" s="159">
        <f>'BASE DE DADOS'!I94</f>
        <v>0</v>
      </c>
      <c r="G93" s="172">
        <f>'BASE DE DADOS'!K94</f>
        <v>0</v>
      </c>
      <c r="H93" s="174">
        <f>'BASE DE DADOS'!M94</f>
        <v>0</v>
      </c>
      <c r="I93" s="174">
        <f>'BASE DE DADOS'!N94</f>
        <v>0</v>
      </c>
      <c r="J93" s="173">
        <f>'BASE DE DADOS'!P94</f>
        <v>0</v>
      </c>
      <c r="K93" s="173">
        <f>'BASE DE DADOS'!Q94</f>
        <v>0</v>
      </c>
      <c r="L93" s="158">
        <f>'BASE DE DADOS'!S94</f>
        <v>0</v>
      </c>
      <c r="M93" s="13"/>
    </row>
    <row r="94" spans="2:13" ht="15.6" x14ac:dyDescent="0.3">
      <c r="B94" s="10"/>
      <c r="C94" s="169">
        <v>89</v>
      </c>
      <c r="D94" s="158">
        <f>'BASE DE DADOS'!E95</f>
        <v>0</v>
      </c>
      <c r="E94" s="159">
        <f>'BASE DE DADOS'!G95</f>
        <v>0</v>
      </c>
      <c r="F94" s="159">
        <f>'BASE DE DADOS'!I95</f>
        <v>0</v>
      </c>
      <c r="G94" s="172">
        <f>'BASE DE DADOS'!K95</f>
        <v>0</v>
      </c>
      <c r="H94" s="174">
        <f>'BASE DE DADOS'!M95</f>
        <v>0</v>
      </c>
      <c r="I94" s="174">
        <f>'BASE DE DADOS'!N95</f>
        <v>0</v>
      </c>
      <c r="J94" s="173">
        <f>'BASE DE DADOS'!P95</f>
        <v>0</v>
      </c>
      <c r="K94" s="173">
        <f>'BASE DE DADOS'!Q95</f>
        <v>0</v>
      </c>
      <c r="L94" s="158">
        <f>'BASE DE DADOS'!S95</f>
        <v>0</v>
      </c>
      <c r="M94" s="13"/>
    </row>
    <row r="95" spans="2:13" ht="15.6" x14ac:dyDescent="0.3">
      <c r="B95" s="10"/>
      <c r="C95" s="169">
        <v>90</v>
      </c>
      <c r="D95" s="158">
        <f>'BASE DE DADOS'!E96</f>
        <v>0</v>
      </c>
      <c r="E95" s="159">
        <f>'BASE DE DADOS'!G96</f>
        <v>0</v>
      </c>
      <c r="F95" s="159">
        <f>'BASE DE DADOS'!I96</f>
        <v>0</v>
      </c>
      <c r="G95" s="172">
        <f>'BASE DE DADOS'!K96</f>
        <v>0</v>
      </c>
      <c r="H95" s="174">
        <f>'BASE DE DADOS'!M96</f>
        <v>0</v>
      </c>
      <c r="I95" s="174">
        <f>'BASE DE DADOS'!N96</f>
        <v>0</v>
      </c>
      <c r="J95" s="173">
        <f>'BASE DE DADOS'!P96</f>
        <v>0</v>
      </c>
      <c r="K95" s="173">
        <f>'BASE DE DADOS'!Q96</f>
        <v>0</v>
      </c>
      <c r="L95" s="158">
        <f>'BASE DE DADOS'!S96</f>
        <v>0</v>
      </c>
      <c r="M95" s="13"/>
    </row>
    <row r="96" spans="2:13" ht="15.6" x14ac:dyDescent="0.3">
      <c r="B96" s="10"/>
      <c r="C96" s="169">
        <v>91</v>
      </c>
      <c r="D96" s="158">
        <f>'BASE DE DADOS'!E97</f>
        <v>0</v>
      </c>
      <c r="E96" s="159">
        <f>'BASE DE DADOS'!G97</f>
        <v>0</v>
      </c>
      <c r="F96" s="159">
        <f>'BASE DE DADOS'!I97</f>
        <v>0</v>
      </c>
      <c r="G96" s="172">
        <f>'BASE DE DADOS'!K97</f>
        <v>0</v>
      </c>
      <c r="H96" s="174">
        <f>'BASE DE DADOS'!M97</f>
        <v>0</v>
      </c>
      <c r="I96" s="174">
        <f>'BASE DE DADOS'!N97</f>
        <v>0</v>
      </c>
      <c r="J96" s="173">
        <f>'BASE DE DADOS'!P97</f>
        <v>0</v>
      </c>
      <c r="K96" s="173">
        <f>'BASE DE DADOS'!Q97</f>
        <v>0</v>
      </c>
      <c r="L96" s="158">
        <f>'BASE DE DADOS'!S97</f>
        <v>0</v>
      </c>
      <c r="M96" s="13"/>
    </row>
    <row r="97" spans="2:13" ht="15.6" x14ac:dyDescent="0.3">
      <c r="B97" s="10"/>
      <c r="C97" s="169">
        <v>92</v>
      </c>
      <c r="D97" s="158">
        <f>'BASE DE DADOS'!E98</f>
        <v>0</v>
      </c>
      <c r="E97" s="159">
        <f>'BASE DE DADOS'!G98</f>
        <v>0</v>
      </c>
      <c r="F97" s="159">
        <f>'BASE DE DADOS'!I98</f>
        <v>0</v>
      </c>
      <c r="G97" s="172">
        <f>'BASE DE DADOS'!K98</f>
        <v>0</v>
      </c>
      <c r="H97" s="174">
        <f>'BASE DE DADOS'!M98</f>
        <v>0</v>
      </c>
      <c r="I97" s="174">
        <f>'BASE DE DADOS'!N98</f>
        <v>0</v>
      </c>
      <c r="J97" s="173">
        <f>'BASE DE DADOS'!P98</f>
        <v>0</v>
      </c>
      <c r="K97" s="173">
        <f>'BASE DE DADOS'!Q98</f>
        <v>0</v>
      </c>
      <c r="L97" s="158">
        <f>'BASE DE DADOS'!S98</f>
        <v>0</v>
      </c>
      <c r="M97" s="13"/>
    </row>
    <row r="98" spans="2:13" ht="15.6" x14ac:dyDescent="0.3">
      <c r="B98" s="10"/>
      <c r="C98" s="169">
        <v>93</v>
      </c>
      <c r="D98" s="158">
        <f>'BASE DE DADOS'!E99</f>
        <v>0</v>
      </c>
      <c r="E98" s="159">
        <f>'BASE DE DADOS'!G99</f>
        <v>0</v>
      </c>
      <c r="F98" s="159">
        <f>'BASE DE DADOS'!I99</f>
        <v>0</v>
      </c>
      <c r="G98" s="172">
        <f>'BASE DE DADOS'!K99</f>
        <v>0</v>
      </c>
      <c r="H98" s="174">
        <f>'BASE DE DADOS'!M99</f>
        <v>0</v>
      </c>
      <c r="I98" s="174">
        <f>'BASE DE DADOS'!N99</f>
        <v>0</v>
      </c>
      <c r="J98" s="173">
        <f>'BASE DE DADOS'!P99</f>
        <v>0</v>
      </c>
      <c r="K98" s="173">
        <f>'BASE DE DADOS'!Q99</f>
        <v>0</v>
      </c>
      <c r="L98" s="158">
        <f>'BASE DE DADOS'!S99</f>
        <v>0</v>
      </c>
      <c r="M98" s="13"/>
    </row>
    <row r="99" spans="2:13" ht="15.6" x14ac:dyDescent="0.3">
      <c r="B99" s="10"/>
      <c r="C99" s="169">
        <v>94</v>
      </c>
      <c r="D99" s="158">
        <f>'BASE DE DADOS'!E100</f>
        <v>0</v>
      </c>
      <c r="E99" s="159">
        <f>'BASE DE DADOS'!G100</f>
        <v>0</v>
      </c>
      <c r="F99" s="159">
        <f>'BASE DE DADOS'!I100</f>
        <v>0</v>
      </c>
      <c r="G99" s="172">
        <f>'BASE DE DADOS'!K100</f>
        <v>0</v>
      </c>
      <c r="H99" s="174">
        <f>'BASE DE DADOS'!M100</f>
        <v>0</v>
      </c>
      <c r="I99" s="174">
        <f>'BASE DE DADOS'!N100</f>
        <v>0</v>
      </c>
      <c r="J99" s="173">
        <f>'BASE DE DADOS'!P100</f>
        <v>0</v>
      </c>
      <c r="K99" s="173">
        <f>'BASE DE DADOS'!Q100</f>
        <v>0</v>
      </c>
      <c r="L99" s="158">
        <f>'BASE DE DADOS'!S100</f>
        <v>0</v>
      </c>
      <c r="M99" s="13"/>
    </row>
    <row r="100" spans="2:13" ht="15.6" x14ac:dyDescent="0.3">
      <c r="B100" s="10"/>
      <c r="C100" s="169">
        <v>95</v>
      </c>
      <c r="D100" s="158">
        <f>'BASE DE DADOS'!E101</f>
        <v>0</v>
      </c>
      <c r="E100" s="159">
        <f>'BASE DE DADOS'!G101</f>
        <v>0</v>
      </c>
      <c r="F100" s="159">
        <f>'BASE DE DADOS'!I101</f>
        <v>0</v>
      </c>
      <c r="G100" s="172">
        <f>'BASE DE DADOS'!K101</f>
        <v>0</v>
      </c>
      <c r="H100" s="174">
        <f>'BASE DE DADOS'!M101</f>
        <v>0</v>
      </c>
      <c r="I100" s="174">
        <f>'BASE DE DADOS'!N101</f>
        <v>0</v>
      </c>
      <c r="J100" s="173">
        <f>'BASE DE DADOS'!P101</f>
        <v>0</v>
      </c>
      <c r="K100" s="173">
        <f>'BASE DE DADOS'!Q101</f>
        <v>0</v>
      </c>
      <c r="L100" s="158">
        <f>'BASE DE DADOS'!S101</f>
        <v>0</v>
      </c>
      <c r="M100" s="13"/>
    </row>
    <row r="101" spans="2:13" ht="15.6" x14ac:dyDescent="0.3">
      <c r="B101" s="10"/>
      <c r="C101" s="169">
        <v>96</v>
      </c>
      <c r="D101" s="158">
        <f>'BASE DE DADOS'!E102</f>
        <v>0</v>
      </c>
      <c r="E101" s="159">
        <f>'BASE DE DADOS'!G102</f>
        <v>0</v>
      </c>
      <c r="F101" s="159">
        <f>'BASE DE DADOS'!I102</f>
        <v>0</v>
      </c>
      <c r="G101" s="172">
        <f>'BASE DE DADOS'!K102</f>
        <v>0</v>
      </c>
      <c r="H101" s="174">
        <f>'BASE DE DADOS'!M102</f>
        <v>0</v>
      </c>
      <c r="I101" s="174">
        <f>'BASE DE DADOS'!N102</f>
        <v>0</v>
      </c>
      <c r="J101" s="173">
        <f>'BASE DE DADOS'!P102</f>
        <v>0</v>
      </c>
      <c r="K101" s="173">
        <f>'BASE DE DADOS'!Q102</f>
        <v>0</v>
      </c>
      <c r="L101" s="158">
        <f>'BASE DE DADOS'!S102</f>
        <v>0</v>
      </c>
      <c r="M101" s="13"/>
    </row>
    <row r="102" spans="2:13" ht="15.6" x14ac:dyDescent="0.3">
      <c r="B102" s="10"/>
      <c r="C102" s="169">
        <v>97</v>
      </c>
      <c r="D102" s="158">
        <f>'BASE DE DADOS'!E103</f>
        <v>0</v>
      </c>
      <c r="E102" s="159">
        <f>'BASE DE DADOS'!G103</f>
        <v>0</v>
      </c>
      <c r="F102" s="159">
        <f>'BASE DE DADOS'!I103</f>
        <v>0</v>
      </c>
      <c r="G102" s="172">
        <f>'BASE DE DADOS'!K103</f>
        <v>0</v>
      </c>
      <c r="H102" s="174">
        <f>'BASE DE DADOS'!M103</f>
        <v>0</v>
      </c>
      <c r="I102" s="174">
        <f>'BASE DE DADOS'!N103</f>
        <v>0</v>
      </c>
      <c r="J102" s="173">
        <f>'BASE DE DADOS'!P103</f>
        <v>0</v>
      </c>
      <c r="K102" s="173">
        <f>'BASE DE DADOS'!Q103</f>
        <v>0</v>
      </c>
      <c r="L102" s="158">
        <f>'BASE DE DADOS'!S103</f>
        <v>0</v>
      </c>
      <c r="M102" s="13"/>
    </row>
    <row r="103" spans="2:13" ht="15.6" x14ac:dyDescent="0.3">
      <c r="B103" s="10"/>
      <c r="C103" s="169">
        <v>98</v>
      </c>
      <c r="D103" s="158">
        <f>'BASE DE DADOS'!E104</f>
        <v>0</v>
      </c>
      <c r="E103" s="159">
        <f>'BASE DE DADOS'!G104</f>
        <v>0</v>
      </c>
      <c r="F103" s="159">
        <f>'BASE DE DADOS'!I104</f>
        <v>0</v>
      </c>
      <c r="G103" s="172">
        <f>'BASE DE DADOS'!K104</f>
        <v>0</v>
      </c>
      <c r="H103" s="174">
        <f>'BASE DE DADOS'!M104</f>
        <v>0</v>
      </c>
      <c r="I103" s="174">
        <f>'BASE DE DADOS'!N104</f>
        <v>0</v>
      </c>
      <c r="J103" s="173">
        <f>'BASE DE DADOS'!P104</f>
        <v>0</v>
      </c>
      <c r="K103" s="173">
        <f>'BASE DE DADOS'!Q104</f>
        <v>0</v>
      </c>
      <c r="L103" s="158">
        <f>'BASE DE DADOS'!S104</f>
        <v>0</v>
      </c>
      <c r="M103" s="13"/>
    </row>
    <row r="104" spans="2:13" ht="15.6" x14ac:dyDescent="0.3">
      <c r="B104" s="10"/>
      <c r="C104" s="169">
        <v>99</v>
      </c>
      <c r="D104" s="158">
        <f>'BASE DE DADOS'!E105</f>
        <v>0</v>
      </c>
      <c r="E104" s="159">
        <f>'BASE DE DADOS'!G105</f>
        <v>0</v>
      </c>
      <c r="F104" s="159">
        <f>'BASE DE DADOS'!I105</f>
        <v>0</v>
      </c>
      <c r="G104" s="172">
        <f>'BASE DE DADOS'!K105</f>
        <v>0</v>
      </c>
      <c r="H104" s="174">
        <f>'BASE DE DADOS'!M105</f>
        <v>0</v>
      </c>
      <c r="I104" s="174">
        <f>'BASE DE DADOS'!N105</f>
        <v>0</v>
      </c>
      <c r="J104" s="173">
        <f>'BASE DE DADOS'!P105</f>
        <v>0</v>
      </c>
      <c r="K104" s="173">
        <f>'BASE DE DADOS'!Q105</f>
        <v>0</v>
      </c>
      <c r="L104" s="158">
        <f>'BASE DE DADOS'!S105</f>
        <v>0</v>
      </c>
      <c r="M104" s="13"/>
    </row>
    <row r="105" spans="2:13" ht="15.6" x14ac:dyDescent="0.3">
      <c r="B105" s="10"/>
      <c r="C105" s="169">
        <v>100</v>
      </c>
      <c r="D105" s="158">
        <f>'BASE DE DADOS'!E106</f>
        <v>0</v>
      </c>
      <c r="E105" s="159">
        <f>'BASE DE DADOS'!G106</f>
        <v>0</v>
      </c>
      <c r="F105" s="159">
        <f>'BASE DE DADOS'!I106</f>
        <v>0</v>
      </c>
      <c r="G105" s="172">
        <f>'BASE DE DADOS'!K106</f>
        <v>0</v>
      </c>
      <c r="H105" s="174">
        <f>'BASE DE DADOS'!M106</f>
        <v>0</v>
      </c>
      <c r="I105" s="174">
        <f>'BASE DE DADOS'!N106</f>
        <v>0</v>
      </c>
      <c r="J105" s="173">
        <f>'BASE DE DADOS'!P106</f>
        <v>0</v>
      </c>
      <c r="K105" s="173">
        <f>'BASE DE DADOS'!Q106</f>
        <v>0</v>
      </c>
      <c r="L105" s="158">
        <f>'BASE DE DADOS'!S106</f>
        <v>0</v>
      </c>
      <c r="M105" s="13"/>
    </row>
    <row r="106" spans="2:13" x14ac:dyDescent="0.3"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3"/>
    </row>
    <row r="107" spans="2:13" ht="15" thickBot="1" x14ac:dyDescent="0.35"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8"/>
    </row>
  </sheetData>
  <mergeCells count="5">
    <mergeCell ref="E3:F3"/>
    <mergeCell ref="H3:I3"/>
    <mergeCell ref="J3:K3"/>
    <mergeCell ref="H4:I4"/>
    <mergeCell ref="J4:K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1. EXEMPLO</vt:lpstr>
      <vt:lpstr>QUAL É O CONSUMO</vt:lpstr>
      <vt:lpstr>PAYBACK</vt:lpstr>
      <vt:lpstr>BASE DE DADOS</vt:lpstr>
      <vt:lpstr>TAB_DINÂMICA</vt:lpstr>
      <vt:lpstr>origem</vt:lpstr>
      <vt:lpstr>'1. EXEMPLO'!Area_de_impressao</vt:lpstr>
      <vt:lpstr>'BASE DE DADOS'!Area_de_impressao</vt:lpstr>
      <vt:lpstr>PAYBACK!Area_de_impressao</vt:lpstr>
      <vt:lpstr>'QUAL É O CONSUMO'!Area_de_impressao</vt:lpstr>
      <vt:lpstr>TAB_DINÂMICA!Area_de_impressao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Sarno izidoro</dc:creator>
  <cp:lastModifiedBy>LUIZ IZIDORO</cp:lastModifiedBy>
  <cp:lastPrinted>2020-09-06T22:45:12Z</cp:lastPrinted>
  <dcterms:created xsi:type="dcterms:W3CDTF">2020-07-10T12:26:02Z</dcterms:created>
  <dcterms:modified xsi:type="dcterms:W3CDTF">2020-09-06T22:45:29Z</dcterms:modified>
</cp:coreProperties>
</file>