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Aula 4.1/"/>
    </mc:Choice>
  </mc:AlternateContent>
  <xr:revisionPtr revIDLastSave="6" documentId="8_{2E7F581A-18E8-4F5C-8BB1-9D6EDCE87458}" xr6:coauthVersionLast="47" xr6:coauthVersionMax="47" xr10:uidLastSave="{B3B3A44B-7697-441C-946B-A860984C24C4}"/>
  <bookViews>
    <workbookView xWindow="-120" yWindow="-120" windowWidth="38640" windowHeight="15840" tabRatio="878" firstSheet="1" activeTab="8" xr2:uid="{427A9D35-383F-4A6D-8A88-06748AD13443}"/>
  </bookViews>
  <sheets>
    <sheet name="SEMANAS" sheetId="2" state="hidden" r:id="rId1"/>
    <sheet name="DASHBOARDS_prazo" sheetId="6" r:id="rId2"/>
    <sheet name="CONTROLE VISUAL" sheetId="10" r:id="rId3"/>
    <sheet name="BASE DE DADOS" sheetId="1" r:id="rId4"/>
    <sheet name="RITMO" sheetId="14" r:id="rId5"/>
    <sheet name="REPLAN - Agilean" sheetId="11" r:id="rId6"/>
    <sheet name="TD - curva s" sheetId="3" r:id="rId7"/>
    <sheet name="CURVA S" sheetId="4" r:id="rId8"/>
    <sheet name="INDICADORES" sheetId="5" r:id="rId9"/>
    <sheet name="Planilha2" sheetId="13" state="hidden" r:id="rId10"/>
    <sheet name="DASHBOARDS_custo" sheetId="9" state="hidden" r:id="rId11"/>
  </sheets>
  <externalReferences>
    <externalReference r:id="rId12"/>
  </externalReferences>
  <definedNames>
    <definedName name="_xlnm._FilterDatabase" localSheetId="3" hidden="1">'BASE DE DADOS'!$A$1:$AS$1</definedName>
    <definedName name="Z_00F68F5D_E7EC_4A9D_A8F7_19E9173D4D0E_.wvu.Cols" localSheetId="3" hidden="1">'BASE DE DADOS'!$C:$G,'BASE DE DADOS'!$M:$P,'BASE DE DADOS'!$Z:$AP</definedName>
    <definedName name="Z_00F68F5D_E7EC_4A9D_A8F7_19E9173D4D0E_.wvu.FilterData" localSheetId="3" hidden="1">'BASE DE DADOS'!$A$1:$AM$125</definedName>
    <definedName name="Z_28BE6562_61BE_42C3_B697_462A6F62428C_.wvu.Cols" localSheetId="3" hidden="1">'BASE DE DADOS'!$C:$G,'BASE DE DADOS'!$M:$P</definedName>
    <definedName name="Z_28BE6562_61BE_42C3_B697_462A6F62428C_.wvu.FilterData" localSheetId="3" hidden="1">'BASE DE DADOS'!$A$1:$AM$125</definedName>
  </definedNames>
  <calcPr calcId="191029"/>
  <customWorkbookViews>
    <customWorkbookView name="Navisworks" guid="{28BE6562-61BE-42C3-B697-462A6F62428C}" maximized="1" xWindow="-8" yWindow="-8" windowWidth="2576" windowHeight="1056" activeSheetId="1"/>
    <customWorkbookView name="Navisworks 2" guid="{00F68F5D-E7EC-4A9D-A8F7-19E9173D4D0E}" maximized="1" xWindow="-8" yWindow="-8" windowWidth="2576" windowHeight="1056" activeSheetId="1"/>
  </customWorkbookViews>
  <pivotCaches>
    <pivotCache cacheId="0" r:id="rId13"/>
    <pivotCache cacheId="1" r:id="rId14"/>
    <pivotCache cacheId="2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5" l="1"/>
  <c r="J18" i="5" s="1"/>
  <c r="O3" i="4"/>
  <c r="I3" i="4"/>
  <c r="H3" i="4"/>
  <c r="AJ12" i="1"/>
  <c r="AJ13" i="1"/>
  <c r="AJ14" i="1"/>
  <c r="AJ15" i="1"/>
  <c r="AJ16" i="1"/>
  <c r="AQ16" i="1" s="1"/>
  <c r="AJ5" i="1"/>
  <c r="AJ6" i="1"/>
  <c r="AJ7" i="1"/>
  <c r="AJ8" i="1"/>
  <c r="AJ9" i="1"/>
  <c r="AJ10" i="1"/>
  <c r="AJ11" i="1"/>
  <c r="AJ4" i="1"/>
  <c r="AP16" i="1"/>
  <c r="AH2" i="1"/>
  <c r="AD4" i="1"/>
  <c r="AF2" i="1"/>
  <c r="AC4" i="1"/>
  <c r="H4" i="5"/>
  <c r="G4" i="5"/>
  <c r="H36" i="6"/>
  <c r="H31" i="6"/>
  <c r="C21" i="5"/>
  <c r="C20" i="5"/>
  <c r="L126" i="1"/>
  <c r="X13" i="1" s="1"/>
  <c r="M10" i="14"/>
  <c r="M11" i="14"/>
  <c r="M12" i="14"/>
  <c r="M13" i="14"/>
  <c r="M14" i="14"/>
  <c r="M15" i="14"/>
  <c r="N15" i="14" s="1"/>
  <c r="N16" i="14" s="1"/>
  <c r="M16" i="14"/>
  <c r="M17" i="14"/>
  <c r="M18" i="14"/>
  <c r="M19" i="14"/>
  <c r="M9" i="14"/>
  <c r="K9" i="14"/>
  <c r="K10" i="14"/>
  <c r="K11" i="14"/>
  <c r="K12" i="14"/>
  <c r="K13" i="14"/>
  <c r="K14" i="14"/>
  <c r="K15" i="14"/>
  <c r="K16" i="14"/>
  <c r="K17" i="14"/>
  <c r="K18" i="14"/>
  <c r="AD6" i="1"/>
  <c r="AD7" i="1"/>
  <c r="AD8" i="1"/>
  <c r="AD11" i="1"/>
  <c r="AD12" i="1"/>
  <c r="AD13" i="1"/>
  <c r="AD14" i="1"/>
  <c r="AD33" i="1"/>
  <c r="AD34" i="1"/>
  <c r="AD35" i="1"/>
  <c r="AD36" i="1"/>
  <c r="AD37" i="1"/>
  <c r="AD56" i="1"/>
  <c r="AD57" i="1"/>
  <c r="AD58" i="1"/>
  <c r="AD59" i="1"/>
  <c r="AD79" i="1"/>
  <c r="AD80" i="1"/>
  <c r="AD81" i="1"/>
  <c r="AD82" i="1"/>
  <c r="AD102" i="1"/>
  <c r="AD103" i="1"/>
  <c r="AD105" i="1"/>
  <c r="AD106" i="1"/>
  <c r="AD9" i="1"/>
  <c r="AD3" i="1"/>
  <c r="AD2" i="1"/>
  <c r="E22" i="3"/>
  <c r="I18" i="5" l="1"/>
  <c r="X105" i="1"/>
  <c r="X83" i="1"/>
  <c r="X71" i="1"/>
  <c r="X59" i="1"/>
  <c r="X47" i="1"/>
  <c r="X35" i="1"/>
  <c r="X95" i="1"/>
  <c r="X23" i="1"/>
  <c r="X22" i="1"/>
  <c r="X119" i="1"/>
  <c r="X11" i="1"/>
  <c r="X107" i="1"/>
  <c r="X106" i="1"/>
  <c r="X120" i="1"/>
  <c r="X108" i="1"/>
  <c r="X96" i="1"/>
  <c r="X84" i="1"/>
  <c r="X72" i="1"/>
  <c r="X60" i="1"/>
  <c r="X48" i="1"/>
  <c r="X36" i="1"/>
  <c r="X24" i="1"/>
  <c r="X12" i="1"/>
  <c r="X10" i="1"/>
  <c r="X33" i="1"/>
  <c r="X116" i="1"/>
  <c r="X104" i="1"/>
  <c r="X92" i="1"/>
  <c r="X80" i="1"/>
  <c r="X68" i="1"/>
  <c r="X56" i="1"/>
  <c r="X44" i="1"/>
  <c r="X32" i="1"/>
  <c r="X20" i="1"/>
  <c r="X8" i="1"/>
  <c r="X115" i="1"/>
  <c r="X103" i="1"/>
  <c r="X91" i="1"/>
  <c r="X79" i="1"/>
  <c r="X67" i="1"/>
  <c r="X55" i="1"/>
  <c r="X43" i="1"/>
  <c r="X31" i="1"/>
  <c r="X19" i="1"/>
  <c r="X7" i="1"/>
  <c r="X2" i="1"/>
  <c r="X114" i="1"/>
  <c r="X102" i="1"/>
  <c r="X90" i="1"/>
  <c r="X78" i="1"/>
  <c r="X66" i="1"/>
  <c r="X54" i="1"/>
  <c r="X42" i="1"/>
  <c r="X30" i="1"/>
  <c r="X18" i="1"/>
  <c r="X6" i="1"/>
  <c r="X82" i="1"/>
  <c r="X93" i="1"/>
  <c r="X9" i="1"/>
  <c r="X125" i="1"/>
  <c r="X113" i="1"/>
  <c r="X101" i="1"/>
  <c r="X89" i="1"/>
  <c r="X77" i="1"/>
  <c r="X65" i="1"/>
  <c r="X53" i="1"/>
  <c r="X41" i="1"/>
  <c r="X29" i="1"/>
  <c r="X17" i="1"/>
  <c r="X5" i="1"/>
  <c r="X46" i="1"/>
  <c r="X21" i="1"/>
  <c r="X124" i="1"/>
  <c r="X112" i="1"/>
  <c r="X100" i="1"/>
  <c r="X88" i="1"/>
  <c r="X76" i="1"/>
  <c r="X64" i="1"/>
  <c r="X52" i="1"/>
  <c r="X40" i="1"/>
  <c r="X28" i="1"/>
  <c r="X16" i="1"/>
  <c r="X4" i="1"/>
  <c r="X70" i="1"/>
  <c r="X69" i="1"/>
  <c r="X123" i="1"/>
  <c r="X111" i="1"/>
  <c r="X99" i="1"/>
  <c r="X87" i="1"/>
  <c r="X75" i="1"/>
  <c r="X63" i="1"/>
  <c r="X51" i="1"/>
  <c r="X39" i="1"/>
  <c r="X27" i="1"/>
  <c r="X15" i="1"/>
  <c r="X3" i="1"/>
  <c r="X118" i="1"/>
  <c r="X58" i="1"/>
  <c r="X81" i="1"/>
  <c r="X57" i="1"/>
  <c r="X122" i="1"/>
  <c r="X110" i="1"/>
  <c r="X98" i="1"/>
  <c r="X86" i="1"/>
  <c r="X74" i="1"/>
  <c r="X62" i="1"/>
  <c r="X50" i="1"/>
  <c r="X38" i="1"/>
  <c r="X26" i="1"/>
  <c r="X14" i="1"/>
  <c r="X94" i="1"/>
  <c r="X34" i="1"/>
  <c r="X117" i="1"/>
  <c r="X45" i="1"/>
  <c r="X121" i="1"/>
  <c r="X109" i="1"/>
  <c r="X97" i="1"/>
  <c r="X85" i="1"/>
  <c r="X73" i="1"/>
  <c r="X61" i="1"/>
  <c r="X49" i="1"/>
  <c r="X37" i="1"/>
  <c r="X25" i="1"/>
  <c r="N17" i="14"/>
  <c r="N18" i="14" s="1"/>
  <c r="N19" i="14" s="1"/>
  <c r="L14" i="14"/>
  <c r="L15" i="14" s="1"/>
  <c r="L16" i="14" s="1"/>
  <c r="L17" i="14" s="1"/>
  <c r="L18" i="14" s="1"/>
  <c r="H11" i="9"/>
  <c r="AQ5" i="1"/>
  <c r="AQ6" i="1"/>
  <c r="AQ7" i="1"/>
  <c r="AQ8" i="1"/>
  <c r="AQ10" i="1"/>
  <c r="AQ11" i="1"/>
  <c r="AQ12" i="1"/>
  <c r="AQ13" i="1"/>
  <c r="AQ14" i="1"/>
  <c r="AQ15" i="1"/>
  <c r="AJ33" i="1"/>
  <c r="AQ33" i="1" s="1"/>
  <c r="AJ34" i="1"/>
  <c r="AQ34" i="1" s="1"/>
  <c r="AJ35" i="1"/>
  <c r="AQ35" i="1" s="1"/>
  <c r="AJ36" i="1"/>
  <c r="AQ36" i="1" s="1"/>
  <c r="AJ37" i="1"/>
  <c r="AQ37" i="1" s="1"/>
  <c r="AJ56" i="1"/>
  <c r="AQ56" i="1" s="1"/>
  <c r="AJ57" i="1"/>
  <c r="AQ57" i="1" s="1"/>
  <c r="AJ58" i="1"/>
  <c r="AQ58" i="1" s="1"/>
  <c r="AJ59" i="1"/>
  <c r="AQ59" i="1" s="1"/>
  <c r="AJ79" i="1"/>
  <c r="AQ79" i="1" s="1"/>
  <c r="AJ80" i="1"/>
  <c r="AQ80" i="1" s="1"/>
  <c r="AJ81" i="1"/>
  <c r="AQ81" i="1" s="1"/>
  <c r="AJ82" i="1"/>
  <c r="AQ82" i="1" s="1"/>
  <c r="AJ102" i="1"/>
  <c r="AQ102" i="1" s="1"/>
  <c r="AJ103" i="1"/>
  <c r="AQ103" i="1" s="1"/>
  <c r="AJ104" i="1"/>
  <c r="AQ104" i="1" s="1"/>
  <c r="AJ105" i="1"/>
  <c r="AQ105" i="1" s="1"/>
  <c r="AJ106" i="1"/>
  <c r="AQ106" i="1" s="1"/>
  <c r="AQ4" i="1"/>
  <c r="AI5" i="1"/>
  <c r="AP5" i="1" s="1"/>
  <c r="AI6" i="1"/>
  <c r="AP6" i="1" s="1"/>
  <c r="AI7" i="1"/>
  <c r="AP7" i="1" s="1"/>
  <c r="AI8" i="1"/>
  <c r="AP8" i="1" s="1"/>
  <c r="AI10" i="1"/>
  <c r="AP10" i="1" s="1"/>
  <c r="AI11" i="1"/>
  <c r="AP11" i="1" s="1"/>
  <c r="AI12" i="1"/>
  <c r="AP12" i="1" s="1"/>
  <c r="AI13" i="1"/>
  <c r="AP13" i="1" s="1"/>
  <c r="AI14" i="1"/>
  <c r="AP14" i="1" s="1"/>
  <c r="AI15" i="1"/>
  <c r="AP15" i="1" s="1"/>
  <c r="AI33" i="1"/>
  <c r="AP33" i="1" s="1"/>
  <c r="AI34" i="1"/>
  <c r="AP34" i="1" s="1"/>
  <c r="AI35" i="1"/>
  <c r="AP35" i="1" s="1"/>
  <c r="AI36" i="1"/>
  <c r="AP36" i="1" s="1"/>
  <c r="AI37" i="1"/>
  <c r="AP37" i="1" s="1"/>
  <c r="AI56" i="1"/>
  <c r="AP56" i="1" s="1"/>
  <c r="AI57" i="1"/>
  <c r="AP57" i="1" s="1"/>
  <c r="AI58" i="1"/>
  <c r="AP58" i="1" s="1"/>
  <c r="AI59" i="1"/>
  <c r="AP59" i="1" s="1"/>
  <c r="AI79" i="1"/>
  <c r="AP79" i="1" s="1"/>
  <c r="AI80" i="1"/>
  <c r="AP80" i="1" s="1"/>
  <c r="AI81" i="1"/>
  <c r="AP81" i="1" s="1"/>
  <c r="AI82" i="1"/>
  <c r="AP82" i="1" s="1"/>
  <c r="AI102" i="1"/>
  <c r="AP102" i="1" s="1"/>
  <c r="AI103" i="1"/>
  <c r="AP103" i="1" s="1"/>
  <c r="AI104" i="1"/>
  <c r="AP104" i="1" s="1"/>
  <c r="AI105" i="1"/>
  <c r="AP105" i="1" s="1"/>
  <c r="AI106" i="1"/>
  <c r="AP106" i="1" s="1"/>
  <c r="AI4" i="1"/>
  <c r="AP4" i="1" s="1"/>
  <c r="I17" i="5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AH105" i="1"/>
  <c r="AH15" i="1"/>
  <c r="M22" i="4"/>
  <c r="K39" i="4"/>
  <c r="M39" i="4" s="1"/>
  <c r="K38" i="4"/>
  <c r="M38" i="4" s="1"/>
  <c r="K37" i="4"/>
  <c r="M37" i="4" s="1"/>
  <c r="K36" i="4"/>
  <c r="M36" i="4" s="1"/>
  <c r="K35" i="4"/>
  <c r="M35" i="4" s="1"/>
  <c r="K34" i="4"/>
  <c r="M34" i="4" s="1"/>
  <c r="K33" i="4"/>
  <c r="M33" i="4" s="1"/>
  <c r="K32" i="4"/>
  <c r="M32" i="4" s="1"/>
  <c r="K31" i="4"/>
  <c r="M31" i="4" s="1"/>
  <c r="K30" i="4"/>
  <c r="M30" i="4" s="1"/>
  <c r="K29" i="4"/>
  <c r="M29" i="4" s="1"/>
  <c r="K28" i="4"/>
  <c r="M28" i="4" s="1"/>
  <c r="K27" i="4"/>
  <c r="M27" i="4" s="1"/>
  <c r="K26" i="4"/>
  <c r="M26" i="4" s="1"/>
  <c r="K25" i="4"/>
  <c r="M25" i="4" s="1"/>
  <c r="K24" i="4"/>
  <c r="K23" i="4"/>
  <c r="M23" i="4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2" i="1"/>
  <c r="T11" i="9"/>
  <c r="T6" i="9"/>
  <c r="H6" i="9"/>
  <c r="M6" i="9"/>
  <c r="C11" i="9"/>
  <c r="L24" i="3"/>
  <c r="L25" i="3"/>
  <c r="AI123" i="1" l="1"/>
  <c r="AN123" i="1"/>
  <c r="AN15" i="1"/>
  <c r="AO15" i="1"/>
  <c r="AI110" i="1"/>
  <c r="AP110" i="1" s="1"/>
  <c r="AN110" i="1"/>
  <c r="AO110" i="1"/>
  <c r="AO14" i="1"/>
  <c r="AN14" i="1"/>
  <c r="AN79" i="1"/>
  <c r="AO79" i="1"/>
  <c r="AJ31" i="1"/>
  <c r="AN31" i="1"/>
  <c r="AO31" i="1"/>
  <c r="AJ125" i="1"/>
  <c r="AO125" i="1"/>
  <c r="AN125" i="1"/>
  <c r="AJ113" i="1"/>
  <c r="AO113" i="1"/>
  <c r="AN113" i="1"/>
  <c r="AJ77" i="1"/>
  <c r="AO77" i="1"/>
  <c r="AN77" i="1"/>
  <c r="AJ53" i="1"/>
  <c r="AO53" i="1"/>
  <c r="AN53" i="1"/>
  <c r="AI124" i="1"/>
  <c r="AP124" i="1" s="1"/>
  <c r="AN124" i="1"/>
  <c r="AO124" i="1"/>
  <c r="AI112" i="1"/>
  <c r="AP112" i="1" s="1"/>
  <c r="AN112" i="1"/>
  <c r="AO112" i="1"/>
  <c r="AI100" i="1"/>
  <c r="AP100" i="1" s="1"/>
  <c r="AN100" i="1"/>
  <c r="AO100" i="1"/>
  <c r="AI88" i="1"/>
  <c r="AP88" i="1" s="1"/>
  <c r="AN88" i="1"/>
  <c r="AO88" i="1"/>
  <c r="AI76" i="1"/>
  <c r="AP76" i="1" s="1"/>
  <c r="AO76" i="1"/>
  <c r="AN76" i="1"/>
  <c r="AI64" i="1"/>
  <c r="AP64" i="1" s="1"/>
  <c r="AO64" i="1"/>
  <c r="AN64" i="1"/>
  <c r="AI52" i="1"/>
  <c r="AP52" i="1" s="1"/>
  <c r="AN52" i="1"/>
  <c r="AO52" i="1"/>
  <c r="AI40" i="1"/>
  <c r="AP40" i="1" s="1"/>
  <c r="AN40" i="1"/>
  <c r="AO40" i="1"/>
  <c r="AI28" i="1"/>
  <c r="AP28" i="1" s="1"/>
  <c r="AN28" i="1"/>
  <c r="AO28" i="1"/>
  <c r="AI16" i="1"/>
  <c r="AN16" i="1"/>
  <c r="AO16" i="1"/>
  <c r="AN4" i="1"/>
  <c r="AO4" i="1"/>
  <c r="AI26" i="1"/>
  <c r="AP26" i="1" s="1"/>
  <c r="AO26" i="1"/>
  <c r="AN26" i="1"/>
  <c r="AJ49" i="1"/>
  <c r="AO49" i="1"/>
  <c r="AN49" i="1"/>
  <c r="AI99" i="1"/>
  <c r="AP99" i="1" s="1"/>
  <c r="AN99" i="1"/>
  <c r="AO99" i="1"/>
  <c r="AI86" i="1"/>
  <c r="AP86" i="1" s="1"/>
  <c r="AN86" i="1"/>
  <c r="AO86" i="1"/>
  <c r="AJ97" i="1"/>
  <c r="AN97" i="1"/>
  <c r="AO97" i="1"/>
  <c r="AI25" i="1"/>
  <c r="AP25" i="1" s="1"/>
  <c r="AO25" i="1"/>
  <c r="AN25" i="1"/>
  <c r="AJ72" i="1"/>
  <c r="AO72" i="1"/>
  <c r="AN72" i="1"/>
  <c r="AO36" i="1"/>
  <c r="AN36" i="1"/>
  <c r="AI24" i="1"/>
  <c r="AP24" i="1" s="1"/>
  <c r="AO24" i="1"/>
  <c r="AN24" i="1"/>
  <c r="AO12" i="1"/>
  <c r="AN12" i="1"/>
  <c r="AI27" i="1"/>
  <c r="AP27" i="1" s="1"/>
  <c r="AN27" i="1"/>
  <c r="AO27" i="1"/>
  <c r="AI98" i="1"/>
  <c r="AP98" i="1" s="1"/>
  <c r="AN98" i="1"/>
  <c r="AO98" i="1"/>
  <c r="AJ85" i="1"/>
  <c r="AN85" i="1"/>
  <c r="AO85" i="1"/>
  <c r="AO37" i="1"/>
  <c r="AN37" i="1"/>
  <c r="AI120" i="1"/>
  <c r="AN120" i="1"/>
  <c r="AI48" i="1"/>
  <c r="AP48" i="1" s="1"/>
  <c r="AO48" i="1"/>
  <c r="AN48" i="1"/>
  <c r="AJ119" i="1"/>
  <c r="AO119" i="1"/>
  <c r="AN119" i="1"/>
  <c r="AJ107" i="1"/>
  <c r="AN107" i="1"/>
  <c r="AJ95" i="1"/>
  <c r="AN95" i="1"/>
  <c r="AO95" i="1"/>
  <c r="AJ83" i="1"/>
  <c r="AN83" i="1"/>
  <c r="AO83" i="1"/>
  <c r="AJ71" i="1"/>
  <c r="AO71" i="1"/>
  <c r="AN71" i="1"/>
  <c r="AO59" i="1"/>
  <c r="AN59" i="1"/>
  <c r="AJ47" i="1"/>
  <c r="AO47" i="1"/>
  <c r="AN47" i="1"/>
  <c r="AO35" i="1"/>
  <c r="AN35" i="1"/>
  <c r="AJ23" i="1"/>
  <c r="AO23" i="1"/>
  <c r="AN23" i="1"/>
  <c r="AO11" i="1"/>
  <c r="AN11" i="1"/>
  <c r="AI63" i="1"/>
  <c r="AP63" i="1" s="1"/>
  <c r="AO63" i="1"/>
  <c r="AN63" i="1"/>
  <c r="AI62" i="1"/>
  <c r="AP62" i="1" s="1"/>
  <c r="AO62" i="1"/>
  <c r="AN62" i="1"/>
  <c r="AJ73" i="1"/>
  <c r="AO73" i="1"/>
  <c r="AN73" i="1"/>
  <c r="AO13" i="1"/>
  <c r="AN13" i="1"/>
  <c r="AI108" i="1"/>
  <c r="AN108" i="1"/>
  <c r="AJ60" i="1"/>
  <c r="AO60" i="1"/>
  <c r="AN60" i="1"/>
  <c r="AJ118" i="1"/>
  <c r="AO118" i="1"/>
  <c r="AN118" i="1"/>
  <c r="AN106" i="1"/>
  <c r="AO106" i="1"/>
  <c r="AJ94" i="1"/>
  <c r="AN94" i="1"/>
  <c r="AO94" i="1"/>
  <c r="AN82" i="1"/>
  <c r="AO82" i="1"/>
  <c r="AJ70" i="1"/>
  <c r="AO70" i="1"/>
  <c r="AN70" i="1"/>
  <c r="AO58" i="1"/>
  <c r="AN58" i="1"/>
  <c r="AJ46" i="1"/>
  <c r="AO46" i="1"/>
  <c r="AN46" i="1"/>
  <c r="AO34" i="1"/>
  <c r="AN34" i="1"/>
  <c r="AJ22" i="1"/>
  <c r="AO22" i="1"/>
  <c r="AN22" i="1"/>
  <c r="AO10" i="1"/>
  <c r="AN10" i="1"/>
  <c r="AI51" i="1"/>
  <c r="AP51" i="1" s="1"/>
  <c r="AO51" i="1"/>
  <c r="AN51" i="1"/>
  <c r="AI74" i="1"/>
  <c r="AP74" i="1" s="1"/>
  <c r="AO74" i="1"/>
  <c r="AN74" i="1"/>
  <c r="AI109" i="1"/>
  <c r="AP109" i="1" s="1"/>
  <c r="AN109" i="1"/>
  <c r="AO109" i="1"/>
  <c r="AJ96" i="1"/>
  <c r="AN96" i="1"/>
  <c r="AO96" i="1"/>
  <c r="AJ117" i="1"/>
  <c r="AN117" i="1"/>
  <c r="AO105" i="1"/>
  <c r="AN105" i="1"/>
  <c r="AJ93" i="1"/>
  <c r="AN93" i="1"/>
  <c r="AO93" i="1"/>
  <c r="AN81" i="1"/>
  <c r="AO81" i="1"/>
  <c r="AJ69" i="1"/>
  <c r="AO69" i="1"/>
  <c r="AN69" i="1"/>
  <c r="AO57" i="1"/>
  <c r="AN57" i="1"/>
  <c r="AJ45" i="1"/>
  <c r="AO45" i="1"/>
  <c r="AN45" i="1"/>
  <c r="AO33" i="1"/>
  <c r="AN33" i="1"/>
  <c r="AJ21" i="1"/>
  <c r="AO21" i="1"/>
  <c r="AN21" i="1"/>
  <c r="AN9" i="1"/>
  <c r="AI87" i="1"/>
  <c r="AP87" i="1" s="1"/>
  <c r="AN87" i="1"/>
  <c r="AO87" i="1"/>
  <c r="AI122" i="1"/>
  <c r="AP122" i="1" s="1"/>
  <c r="AN122" i="1"/>
  <c r="AO122" i="1"/>
  <c r="AJ121" i="1"/>
  <c r="AN121" i="1"/>
  <c r="AO121" i="1"/>
  <c r="AJ61" i="1"/>
  <c r="AQ61" i="1" s="1"/>
  <c r="AO61" i="1"/>
  <c r="AN61" i="1"/>
  <c r="AJ84" i="1"/>
  <c r="AN84" i="1"/>
  <c r="AO84" i="1"/>
  <c r="AJ116" i="1"/>
  <c r="AO116" i="1"/>
  <c r="AN116" i="1"/>
  <c r="AO104" i="1"/>
  <c r="AN104" i="1"/>
  <c r="AJ92" i="1"/>
  <c r="AO92" i="1"/>
  <c r="AN92" i="1"/>
  <c r="AO80" i="1"/>
  <c r="AN80" i="1"/>
  <c r="AJ68" i="1"/>
  <c r="AO68" i="1"/>
  <c r="AN68" i="1"/>
  <c r="AO56" i="1"/>
  <c r="AN56" i="1"/>
  <c r="AJ44" i="1"/>
  <c r="AO44" i="1"/>
  <c r="AN44" i="1"/>
  <c r="AJ32" i="1"/>
  <c r="AN32" i="1"/>
  <c r="AJ20" i="1"/>
  <c r="AO20" i="1"/>
  <c r="AN20" i="1"/>
  <c r="AO8" i="1"/>
  <c r="AN8" i="1"/>
  <c r="AI111" i="1"/>
  <c r="AN111" i="1"/>
  <c r="AI50" i="1"/>
  <c r="AP50" i="1" s="1"/>
  <c r="AO50" i="1"/>
  <c r="AN50" i="1"/>
  <c r="AN103" i="1"/>
  <c r="AO103" i="1"/>
  <c r="AO7" i="1"/>
  <c r="AN7" i="1"/>
  <c r="AI75" i="1"/>
  <c r="AP75" i="1" s="1"/>
  <c r="AO75" i="1"/>
  <c r="AN75" i="1"/>
  <c r="AJ115" i="1"/>
  <c r="AN115" i="1"/>
  <c r="AO115" i="1"/>
  <c r="AJ67" i="1"/>
  <c r="AN67" i="1"/>
  <c r="AO67" i="1"/>
  <c r="AJ43" i="1"/>
  <c r="AN43" i="1"/>
  <c r="AO43" i="1"/>
  <c r="AJ19" i="1"/>
  <c r="AN19" i="1"/>
  <c r="AO19" i="1"/>
  <c r="AJ114" i="1"/>
  <c r="AN114" i="1"/>
  <c r="AO102" i="1"/>
  <c r="AN102" i="1"/>
  <c r="AJ90" i="1"/>
  <c r="AN90" i="1"/>
  <c r="AO90" i="1"/>
  <c r="AJ78" i="1"/>
  <c r="AN78" i="1"/>
  <c r="AJ66" i="1"/>
  <c r="AN66" i="1"/>
  <c r="AO66" i="1"/>
  <c r="AJ54" i="1"/>
  <c r="AO54" i="1"/>
  <c r="AN54" i="1"/>
  <c r="AJ42" i="1"/>
  <c r="AO42" i="1"/>
  <c r="AN42" i="1"/>
  <c r="AJ30" i="1"/>
  <c r="AO30" i="1"/>
  <c r="AN30" i="1"/>
  <c r="AJ18" i="1"/>
  <c r="AN18" i="1"/>
  <c r="AO18" i="1"/>
  <c r="AO6" i="1"/>
  <c r="AN6" i="1"/>
  <c r="AI39" i="1"/>
  <c r="AP39" i="1" s="1"/>
  <c r="AO39" i="1"/>
  <c r="AN39" i="1"/>
  <c r="AI38" i="1"/>
  <c r="AP38" i="1" s="1"/>
  <c r="AO38" i="1"/>
  <c r="AN38" i="1"/>
  <c r="AJ91" i="1"/>
  <c r="AO91" i="1"/>
  <c r="AN91" i="1"/>
  <c r="AJ55" i="1"/>
  <c r="AN55" i="1"/>
  <c r="AJ101" i="1"/>
  <c r="AN101" i="1"/>
  <c r="AJ89" i="1"/>
  <c r="AO89" i="1"/>
  <c r="AN89" i="1"/>
  <c r="AJ65" i="1"/>
  <c r="AO65" i="1"/>
  <c r="AN65" i="1"/>
  <c r="AJ41" i="1"/>
  <c r="AO41" i="1"/>
  <c r="AN41" i="1"/>
  <c r="AJ29" i="1"/>
  <c r="AO29" i="1"/>
  <c r="AN29" i="1"/>
  <c r="AJ17" i="1"/>
  <c r="AO17" i="1"/>
  <c r="AN17" i="1"/>
  <c r="AO5" i="1"/>
  <c r="AN5" i="1"/>
  <c r="AI72" i="1"/>
  <c r="AP72" i="1" s="1"/>
  <c r="AI73" i="1"/>
  <c r="AP73" i="1" s="1"/>
  <c r="AJ120" i="1"/>
  <c r="AI121" i="1"/>
  <c r="AP121" i="1" s="1"/>
  <c r="AJ25" i="1"/>
  <c r="AQ25" i="1" s="1"/>
  <c r="AJ74" i="1"/>
  <c r="AJ24" i="1"/>
  <c r="AI49" i="1"/>
  <c r="AP49" i="1" s="1"/>
  <c r="AI97" i="1"/>
  <c r="AP97" i="1" s="1"/>
  <c r="AI47" i="1"/>
  <c r="AP47" i="1" s="1"/>
  <c r="AJ98" i="1"/>
  <c r="AQ98" i="1" s="1"/>
  <c r="AJ50" i="1"/>
  <c r="AI96" i="1"/>
  <c r="AP96" i="1" s="1"/>
  <c r="AI71" i="1"/>
  <c r="AP71" i="1" s="1"/>
  <c r="AJ111" i="1"/>
  <c r="AJ48" i="1"/>
  <c r="AQ48" i="1" s="1"/>
  <c r="AI46" i="1"/>
  <c r="AP46" i="1" s="1"/>
  <c r="AI119" i="1"/>
  <c r="AP119" i="1" s="1"/>
  <c r="AI95" i="1"/>
  <c r="AP95" i="1" s="1"/>
  <c r="AI70" i="1"/>
  <c r="AP70" i="1" s="1"/>
  <c r="AJ110" i="1"/>
  <c r="AQ110" i="1" s="1"/>
  <c r="AJ87" i="1"/>
  <c r="AQ87" i="1" s="1"/>
  <c r="AJ63" i="1"/>
  <c r="AQ63" i="1" s="1"/>
  <c r="AJ39" i="1"/>
  <c r="AI118" i="1"/>
  <c r="AP118" i="1" s="1"/>
  <c r="AI94" i="1"/>
  <c r="AP94" i="1" s="1"/>
  <c r="AI61" i="1"/>
  <c r="AP61" i="1" s="1"/>
  <c r="AJ109" i="1"/>
  <c r="AQ109" i="1" s="1"/>
  <c r="AJ86" i="1"/>
  <c r="AQ86" i="1" s="1"/>
  <c r="AJ62" i="1"/>
  <c r="AQ62" i="1" s="1"/>
  <c r="AJ38" i="1"/>
  <c r="AI85" i="1"/>
  <c r="AP85" i="1" s="1"/>
  <c r="AI60" i="1"/>
  <c r="AP60" i="1" s="1"/>
  <c r="AJ108" i="1"/>
  <c r="AI84" i="1"/>
  <c r="AP84" i="1" s="1"/>
  <c r="AI107" i="1"/>
  <c r="AI83" i="1"/>
  <c r="AP83" i="1" s="1"/>
  <c r="AI23" i="1"/>
  <c r="AP23" i="1" s="1"/>
  <c r="AI22" i="1"/>
  <c r="AP22" i="1" s="1"/>
  <c r="AJ123" i="1"/>
  <c r="AJ27" i="1"/>
  <c r="AQ27" i="1" s="1"/>
  <c r="AJ122" i="1"/>
  <c r="AQ122" i="1" s="1"/>
  <c r="AJ99" i="1"/>
  <c r="AQ99" i="1" s="1"/>
  <c r="AJ75" i="1"/>
  <c r="AQ75" i="1" s="1"/>
  <c r="AJ51" i="1"/>
  <c r="AQ51" i="1" s="1"/>
  <c r="AJ26" i="1"/>
  <c r="AQ26" i="1" s="1"/>
  <c r="AJ124" i="1"/>
  <c r="AQ124" i="1" s="1"/>
  <c r="AJ112" i="1"/>
  <c r="AQ112" i="1" s="1"/>
  <c r="AJ100" i="1"/>
  <c r="AQ100" i="1" s="1"/>
  <c r="AJ88" i="1"/>
  <c r="AQ88" i="1" s="1"/>
  <c r="AJ76" i="1"/>
  <c r="AQ76" i="1" s="1"/>
  <c r="AJ64" i="1"/>
  <c r="AQ64" i="1" s="1"/>
  <c r="AJ52" i="1"/>
  <c r="AQ52" i="1" s="1"/>
  <c r="AJ40" i="1"/>
  <c r="AQ40" i="1" s="1"/>
  <c r="AJ28" i="1"/>
  <c r="AQ28" i="1" s="1"/>
  <c r="AI117" i="1"/>
  <c r="AI93" i="1"/>
  <c r="AP93" i="1" s="1"/>
  <c r="AI69" i="1"/>
  <c r="AP69" i="1" s="1"/>
  <c r="AI45" i="1"/>
  <c r="AP45" i="1" s="1"/>
  <c r="AI21" i="1"/>
  <c r="AP21" i="1" s="1"/>
  <c r="AI9" i="1"/>
  <c r="AI116" i="1"/>
  <c r="AP116" i="1" s="1"/>
  <c r="AI92" i="1"/>
  <c r="AP92" i="1" s="1"/>
  <c r="AI68" i="1"/>
  <c r="AP68" i="1" s="1"/>
  <c r="AI44" i="1"/>
  <c r="AP44" i="1" s="1"/>
  <c r="AI32" i="1"/>
  <c r="AI20" i="1"/>
  <c r="AP20" i="1" s="1"/>
  <c r="AI115" i="1"/>
  <c r="AP115" i="1" s="1"/>
  <c r="AI91" i="1"/>
  <c r="AP91" i="1" s="1"/>
  <c r="AI67" i="1"/>
  <c r="AP67" i="1" s="1"/>
  <c r="AI55" i="1"/>
  <c r="AI43" i="1"/>
  <c r="AP43" i="1" s="1"/>
  <c r="AI31" i="1"/>
  <c r="AP31" i="1" s="1"/>
  <c r="AI19" i="1"/>
  <c r="AP19" i="1" s="1"/>
  <c r="AI114" i="1"/>
  <c r="AI90" i="1"/>
  <c r="AP90" i="1" s="1"/>
  <c r="AI78" i="1"/>
  <c r="AI66" i="1"/>
  <c r="AP66" i="1" s="1"/>
  <c r="AI54" i="1"/>
  <c r="AP54" i="1" s="1"/>
  <c r="AI42" i="1"/>
  <c r="AP42" i="1" s="1"/>
  <c r="AI30" i="1"/>
  <c r="AP30" i="1" s="1"/>
  <c r="AI18" i="1"/>
  <c r="AP18" i="1" s="1"/>
  <c r="AI125" i="1"/>
  <c r="AP125" i="1" s="1"/>
  <c r="AI113" i="1"/>
  <c r="AP113" i="1" s="1"/>
  <c r="AI101" i="1"/>
  <c r="AI89" i="1"/>
  <c r="AP89" i="1" s="1"/>
  <c r="AI77" i="1"/>
  <c r="AP77" i="1" s="1"/>
  <c r="AI65" i="1"/>
  <c r="AP65" i="1" s="1"/>
  <c r="AI53" i="1"/>
  <c r="AP53" i="1" s="1"/>
  <c r="AI41" i="1"/>
  <c r="AP41" i="1" s="1"/>
  <c r="AI29" i="1"/>
  <c r="AP29" i="1" s="1"/>
  <c r="AI17" i="1"/>
  <c r="AP17" i="1" s="1"/>
  <c r="AK16" i="1"/>
  <c r="M24" i="4"/>
  <c r="AQ69" i="1" l="1"/>
  <c r="AQ96" i="1"/>
  <c r="AQ70" i="1"/>
  <c r="AQ97" i="1"/>
  <c r="AQ90" i="1"/>
  <c r="AQ92" i="1"/>
  <c r="AQ89" i="1"/>
  <c r="AQ74" i="1"/>
  <c r="AQ39" i="1"/>
  <c r="AQ50" i="1"/>
  <c r="AQ65" i="1"/>
  <c r="AQ30" i="1"/>
  <c r="AQ43" i="1"/>
  <c r="AQ95" i="1"/>
  <c r="AQ53" i="1"/>
  <c r="AQ31" i="1"/>
  <c r="AQ17" i="1"/>
  <c r="AQ42" i="1"/>
  <c r="AQ67" i="1"/>
  <c r="AQ21" i="1"/>
  <c r="AQ22" i="1"/>
  <c r="AQ85" i="1"/>
  <c r="AQ77" i="1"/>
  <c r="AQ38" i="1"/>
  <c r="AQ24" i="1"/>
  <c r="AQ44" i="1"/>
  <c r="AQ121" i="1"/>
  <c r="AQ119" i="1"/>
  <c r="AQ29" i="1"/>
  <c r="AQ54" i="1"/>
  <c r="AQ115" i="1"/>
  <c r="AQ93" i="1"/>
  <c r="AQ94" i="1"/>
  <c r="AQ71" i="1"/>
  <c r="AQ113" i="1"/>
  <c r="AQ116" i="1"/>
  <c r="AQ72" i="1"/>
  <c r="AQ47" i="1"/>
  <c r="AQ45" i="1"/>
  <c r="AQ46" i="1"/>
  <c r="AQ23" i="1"/>
  <c r="AQ41" i="1"/>
  <c r="AQ18" i="1"/>
  <c r="AQ66" i="1"/>
  <c r="AQ19" i="1"/>
  <c r="AQ68" i="1"/>
  <c r="AQ73" i="1"/>
  <c r="AQ83" i="1"/>
  <c r="AQ125" i="1"/>
  <c r="AQ60" i="1"/>
  <c r="AQ91" i="1"/>
  <c r="AQ84" i="1"/>
  <c r="AQ49" i="1"/>
  <c r="AQ20" i="1"/>
  <c r="AQ118" i="1"/>
  <c r="N21" i="10"/>
  <c r="O21" i="10" s="1"/>
  <c r="P21" i="10" s="1"/>
  <c r="Q21" i="10" s="1"/>
  <c r="N19" i="10" s="1"/>
  <c r="O19" i="10" s="1"/>
  <c r="P19" i="10" s="1"/>
  <c r="Q19" i="10" s="1"/>
  <c r="N17" i="10" s="1"/>
  <c r="O17" i="10" s="1"/>
  <c r="P17" i="10" s="1"/>
  <c r="Q17" i="10" s="1"/>
  <c r="N15" i="10" s="1"/>
  <c r="O15" i="10" s="1"/>
  <c r="R17" i="10"/>
  <c r="S17" i="10" s="1"/>
  <c r="R15" i="10" s="1"/>
  <c r="S15" i="10" s="1"/>
  <c r="H20" i="6"/>
  <c r="L3" i="5"/>
  <c r="C6" i="5"/>
  <c r="F3" i="5"/>
  <c r="D3" i="5"/>
  <c r="C3" i="5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F5" i="4"/>
  <c r="E6" i="4"/>
  <c r="F6" i="4"/>
  <c r="E7" i="4"/>
  <c r="E13" i="4"/>
  <c r="F13" i="4"/>
  <c r="E14" i="4"/>
  <c r="F14" i="4"/>
  <c r="F20" i="4"/>
  <c r="E21" i="4"/>
  <c r="F22" i="4"/>
  <c r="E23" i="4"/>
  <c r="F23" i="4"/>
  <c r="F24" i="4"/>
  <c r="F28" i="4"/>
  <c r="E29" i="4"/>
  <c r="F29" i="4"/>
  <c r="E30" i="4"/>
  <c r="F30" i="4"/>
  <c r="F31" i="4"/>
  <c r="F35" i="4"/>
  <c r="E36" i="4"/>
  <c r="F36" i="4"/>
  <c r="E37" i="4"/>
  <c r="F37" i="4"/>
  <c r="F38" i="4"/>
  <c r="C40" i="4"/>
  <c r="E3" i="4" s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3" i="1"/>
  <c r="AC2" i="1"/>
  <c r="AB125" i="1"/>
  <c r="AA125" i="1"/>
  <c r="AB124" i="1"/>
  <c r="AA124" i="1"/>
  <c r="AB123" i="1"/>
  <c r="AA123" i="1"/>
  <c r="AB122" i="1"/>
  <c r="AA122" i="1"/>
  <c r="AB121" i="1"/>
  <c r="AA121" i="1"/>
  <c r="AB120" i="1"/>
  <c r="AA120" i="1"/>
  <c r="AB119" i="1"/>
  <c r="AA119" i="1"/>
  <c r="AB118" i="1"/>
  <c r="AA118" i="1"/>
  <c r="AB117" i="1"/>
  <c r="AA117" i="1"/>
  <c r="AB116" i="1"/>
  <c r="AA116" i="1"/>
  <c r="AB115" i="1"/>
  <c r="AA115" i="1"/>
  <c r="AB114" i="1"/>
  <c r="AA114" i="1"/>
  <c r="AB113" i="1"/>
  <c r="AA113" i="1"/>
  <c r="AB112" i="1"/>
  <c r="AA112" i="1"/>
  <c r="AB111" i="1"/>
  <c r="AA111" i="1"/>
  <c r="AB110" i="1"/>
  <c r="AA110" i="1"/>
  <c r="AB109" i="1"/>
  <c r="AA109" i="1"/>
  <c r="AB108" i="1"/>
  <c r="AA108" i="1"/>
  <c r="AB107" i="1"/>
  <c r="AA107" i="1"/>
  <c r="AB106" i="1"/>
  <c r="AA106" i="1"/>
  <c r="AB105" i="1"/>
  <c r="AA105" i="1"/>
  <c r="AB104" i="1"/>
  <c r="AA104" i="1"/>
  <c r="AB103" i="1"/>
  <c r="AA103" i="1"/>
  <c r="AB102" i="1"/>
  <c r="AA102" i="1"/>
  <c r="AB101" i="1"/>
  <c r="AA101" i="1"/>
  <c r="AB100" i="1"/>
  <c r="AA100" i="1"/>
  <c r="AB99" i="1"/>
  <c r="AA99" i="1"/>
  <c r="AB98" i="1"/>
  <c r="AA98" i="1"/>
  <c r="AB97" i="1"/>
  <c r="AA97" i="1"/>
  <c r="AB96" i="1"/>
  <c r="AA96" i="1"/>
  <c r="AB95" i="1"/>
  <c r="AA95" i="1"/>
  <c r="AB94" i="1"/>
  <c r="AA94" i="1"/>
  <c r="AB93" i="1"/>
  <c r="AA93" i="1"/>
  <c r="AB92" i="1"/>
  <c r="AA92" i="1"/>
  <c r="AB91" i="1"/>
  <c r="AA91" i="1"/>
  <c r="AB90" i="1"/>
  <c r="AA90" i="1"/>
  <c r="AB89" i="1"/>
  <c r="AA89" i="1"/>
  <c r="AB88" i="1"/>
  <c r="AA88" i="1"/>
  <c r="AB87" i="1"/>
  <c r="AA87" i="1"/>
  <c r="AB86" i="1"/>
  <c r="AA86" i="1"/>
  <c r="AB85" i="1"/>
  <c r="AA85" i="1"/>
  <c r="AB84" i="1"/>
  <c r="AA84" i="1"/>
  <c r="AB83" i="1"/>
  <c r="AA83" i="1"/>
  <c r="AB82" i="1"/>
  <c r="AA82" i="1"/>
  <c r="AB81" i="1"/>
  <c r="AA81" i="1"/>
  <c r="AB80" i="1"/>
  <c r="AA80" i="1"/>
  <c r="AB79" i="1"/>
  <c r="AA79" i="1"/>
  <c r="AB78" i="1"/>
  <c r="AA78" i="1"/>
  <c r="AB77" i="1"/>
  <c r="AA77" i="1"/>
  <c r="AB76" i="1"/>
  <c r="AA76" i="1"/>
  <c r="AB75" i="1"/>
  <c r="AA75" i="1"/>
  <c r="AB74" i="1"/>
  <c r="AA74" i="1"/>
  <c r="AB73" i="1"/>
  <c r="AA73" i="1"/>
  <c r="AB72" i="1"/>
  <c r="AA72" i="1"/>
  <c r="AB71" i="1"/>
  <c r="AA71" i="1"/>
  <c r="AB70" i="1"/>
  <c r="AA70" i="1"/>
  <c r="AB69" i="1"/>
  <c r="AA69" i="1"/>
  <c r="AB68" i="1"/>
  <c r="AA68" i="1"/>
  <c r="AB67" i="1"/>
  <c r="AA67" i="1"/>
  <c r="AB66" i="1"/>
  <c r="AA66" i="1"/>
  <c r="AB65" i="1"/>
  <c r="AA65" i="1"/>
  <c r="AB64" i="1"/>
  <c r="AA64" i="1"/>
  <c r="AB63" i="1"/>
  <c r="AA63" i="1"/>
  <c r="AB62" i="1"/>
  <c r="AA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7" i="1"/>
  <c r="AA47" i="1"/>
  <c r="AB46" i="1"/>
  <c r="AA46" i="1"/>
  <c r="AB45" i="1"/>
  <c r="AA45" i="1"/>
  <c r="AB44" i="1"/>
  <c r="AA44" i="1"/>
  <c r="AB43" i="1"/>
  <c r="AA43" i="1"/>
  <c r="AB42" i="1"/>
  <c r="AA42" i="1"/>
  <c r="AB41" i="1"/>
  <c r="AA41" i="1"/>
  <c r="AB40" i="1"/>
  <c r="AA40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B25" i="1"/>
  <c r="AA25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AB8" i="1"/>
  <c r="AA8" i="1"/>
  <c r="AB7" i="1"/>
  <c r="AA7" i="1"/>
  <c r="AB6" i="1"/>
  <c r="AA6" i="1"/>
  <c r="AB5" i="1"/>
  <c r="AA5" i="1"/>
  <c r="AB4" i="1"/>
  <c r="AA4" i="1"/>
  <c r="AB3" i="1"/>
  <c r="AA3" i="1"/>
  <c r="AB2" i="1"/>
  <c r="AA2" i="1"/>
  <c r="AL125" i="1"/>
  <c r="AM125" i="1" s="1"/>
  <c r="AK125" i="1"/>
  <c r="AL124" i="1"/>
  <c r="AM124" i="1" s="1"/>
  <c r="AK124" i="1"/>
  <c r="AL123" i="1"/>
  <c r="AM123" i="1" s="1"/>
  <c r="AK123" i="1"/>
  <c r="AL122" i="1"/>
  <c r="AM122" i="1" s="1"/>
  <c r="AK122" i="1"/>
  <c r="AL121" i="1"/>
  <c r="AM121" i="1" s="1"/>
  <c r="AK121" i="1"/>
  <c r="AL120" i="1"/>
  <c r="AM120" i="1" s="1"/>
  <c r="AK120" i="1"/>
  <c r="AL119" i="1"/>
  <c r="AM119" i="1" s="1"/>
  <c r="AK119" i="1"/>
  <c r="AL118" i="1"/>
  <c r="AM118" i="1" s="1"/>
  <c r="AK118" i="1"/>
  <c r="AL117" i="1"/>
  <c r="AM117" i="1" s="1"/>
  <c r="AK117" i="1"/>
  <c r="AL116" i="1"/>
  <c r="AM116" i="1" s="1"/>
  <c r="AK116" i="1"/>
  <c r="AL115" i="1"/>
  <c r="AM115" i="1" s="1"/>
  <c r="AK115" i="1"/>
  <c r="AL114" i="1"/>
  <c r="AM114" i="1" s="1"/>
  <c r="AK114" i="1"/>
  <c r="AL113" i="1"/>
  <c r="AM113" i="1" s="1"/>
  <c r="AK113" i="1"/>
  <c r="AL112" i="1"/>
  <c r="AM112" i="1" s="1"/>
  <c r="AK112" i="1"/>
  <c r="AL111" i="1"/>
  <c r="AM111" i="1" s="1"/>
  <c r="AK111" i="1"/>
  <c r="AL110" i="1"/>
  <c r="AM110" i="1" s="1"/>
  <c r="AK110" i="1"/>
  <c r="AL109" i="1"/>
  <c r="AM109" i="1" s="1"/>
  <c r="AK109" i="1"/>
  <c r="AL108" i="1"/>
  <c r="AM108" i="1" s="1"/>
  <c r="AK108" i="1"/>
  <c r="AL107" i="1"/>
  <c r="AM107" i="1" s="1"/>
  <c r="AK107" i="1"/>
  <c r="AL106" i="1"/>
  <c r="AM106" i="1" s="1"/>
  <c r="AK106" i="1"/>
  <c r="AL105" i="1"/>
  <c r="AM105" i="1" s="1"/>
  <c r="AK105" i="1"/>
  <c r="AL104" i="1"/>
  <c r="AM104" i="1" s="1"/>
  <c r="AK104" i="1"/>
  <c r="AL103" i="1"/>
  <c r="AM103" i="1" s="1"/>
  <c r="AK103" i="1"/>
  <c r="AL102" i="1"/>
  <c r="AM102" i="1" s="1"/>
  <c r="AK102" i="1"/>
  <c r="AL101" i="1"/>
  <c r="AM101" i="1" s="1"/>
  <c r="AK101" i="1"/>
  <c r="AL100" i="1"/>
  <c r="AM100" i="1" s="1"/>
  <c r="AK100" i="1"/>
  <c r="AL99" i="1"/>
  <c r="AM99" i="1" s="1"/>
  <c r="AK99" i="1"/>
  <c r="AL98" i="1"/>
  <c r="AM98" i="1" s="1"/>
  <c r="AK98" i="1"/>
  <c r="AL97" i="1"/>
  <c r="AM97" i="1" s="1"/>
  <c r="AK97" i="1"/>
  <c r="AL96" i="1"/>
  <c r="AM96" i="1" s="1"/>
  <c r="AK96" i="1"/>
  <c r="AL95" i="1"/>
  <c r="AM95" i="1" s="1"/>
  <c r="AK95" i="1"/>
  <c r="AL94" i="1"/>
  <c r="AM94" i="1" s="1"/>
  <c r="AK94" i="1"/>
  <c r="AL93" i="1"/>
  <c r="AM93" i="1" s="1"/>
  <c r="AK93" i="1"/>
  <c r="AL92" i="1"/>
  <c r="AM92" i="1" s="1"/>
  <c r="AK92" i="1"/>
  <c r="AL91" i="1"/>
  <c r="AM91" i="1" s="1"/>
  <c r="AK91" i="1"/>
  <c r="AL90" i="1"/>
  <c r="AM90" i="1" s="1"/>
  <c r="AK90" i="1"/>
  <c r="AL89" i="1"/>
  <c r="AM89" i="1" s="1"/>
  <c r="AK89" i="1"/>
  <c r="AL88" i="1"/>
  <c r="AM88" i="1" s="1"/>
  <c r="AK88" i="1"/>
  <c r="AL87" i="1"/>
  <c r="AM87" i="1" s="1"/>
  <c r="AK87" i="1"/>
  <c r="AL86" i="1"/>
  <c r="AM86" i="1" s="1"/>
  <c r="AK86" i="1"/>
  <c r="AL85" i="1"/>
  <c r="AM85" i="1" s="1"/>
  <c r="AK85" i="1"/>
  <c r="AL84" i="1"/>
  <c r="AM84" i="1" s="1"/>
  <c r="AK84" i="1"/>
  <c r="AL83" i="1"/>
  <c r="AM83" i="1" s="1"/>
  <c r="AK83" i="1"/>
  <c r="AL82" i="1"/>
  <c r="AM82" i="1" s="1"/>
  <c r="AK82" i="1"/>
  <c r="AL81" i="1"/>
  <c r="AM81" i="1" s="1"/>
  <c r="AK81" i="1"/>
  <c r="AL80" i="1"/>
  <c r="AM80" i="1" s="1"/>
  <c r="AK80" i="1"/>
  <c r="AL79" i="1"/>
  <c r="AM79" i="1" s="1"/>
  <c r="AK79" i="1"/>
  <c r="AL78" i="1"/>
  <c r="AM78" i="1" s="1"/>
  <c r="AK78" i="1"/>
  <c r="AL77" i="1"/>
  <c r="AM77" i="1" s="1"/>
  <c r="AK77" i="1"/>
  <c r="AL76" i="1"/>
  <c r="AM76" i="1" s="1"/>
  <c r="AK76" i="1"/>
  <c r="AL75" i="1"/>
  <c r="AM75" i="1" s="1"/>
  <c r="AK75" i="1"/>
  <c r="AL74" i="1"/>
  <c r="AM74" i="1" s="1"/>
  <c r="AK74" i="1"/>
  <c r="AL73" i="1"/>
  <c r="AM73" i="1" s="1"/>
  <c r="AK73" i="1"/>
  <c r="AL72" i="1"/>
  <c r="AM72" i="1" s="1"/>
  <c r="AK72" i="1"/>
  <c r="AL71" i="1"/>
  <c r="AM71" i="1" s="1"/>
  <c r="AK71" i="1"/>
  <c r="AL70" i="1"/>
  <c r="AM70" i="1" s="1"/>
  <c r="AK70" i="1"/>
  <c r="AL69" i="1"/>
  <c r="AM69" i="1" s="1"/>
  <c r="AK69" i="1"/>
  <c r="AL68" i="1"/>
  <c r="AM68" i="1" s="1"/>
  <c r="AK68" i="1"/>
  <c r="AL67" i="1"/>
  <c r="AM67" i="1" s="1"/>
  <c r="AK67" i="1"/>
  <c r="AL66" i="1"/>
  <c r="AM66" i="1" s="1"/>
  <c r="AK66" i="1"/>
  <c r="AL65" i="1"/>
  <c r="AM65" i="1" s="1"/>
  <c r="AK65" i="1"/>
  <c r="AL64" i="1"/>
  <c r="AM64" i="1" s="1"/>
  <c r="AK64" i="1"/>
  <c r="AL63" i="1"/>
  <c r="AM63" i="1" s="1"/>
  <c r="AK63" i="1"/>
  <c r="AL62" i="1"/>
  <c r="AM62" i="1" s="1"/>
  <c r="AK62" i="1"/>
  <c r="AL61" i="1"/>
  <c r="AM61" i="1" s="1"/>
  <c r="AK61" i="1"/>
  <c r="AL60" i="1"/>
  <c r="AM60" i="1" s="1"/>
  <c r="AK60" i="1"/>
  <c r="AL59" i="1"/>
  <c r="AM59" i="1" s="1"/>
  <c r="AK59" i="1"/>
  <c r="AL58" i="1"/>
  <c r="AM58" i="1" s="1"/>
  <c r="AK58" i="1"/>
  <c r="AL57" i="1"/>
  <c r="AM57" i="1" s="1"/>
  <c r="AK57" i="1"/>
  <c r="AL56" i="1"/>
  <c r="AM56" i="1" s="1"/>
  <c r="AK56" i="1"/>
  <c r="AL55" i="1"/>
  <c r="AM55" i="1" s="1"/>
  <c r="AK55" i="1"/>
  <c r="AL54" i="1"/>
  <c r="AM54" i="1" s="1"/>
  <c r="AK54" i="1"/>
  <c r="AL53" i="1"/>
  <c r="AM53" i="1" s="1"/>
  <c r="AK53" i="1"/>
  <c r="AL52" i="1"/>
  <c r="AM52" i="1" s="1"/>
  <c r="AK52" i="1"/>
  <c r="AL51" i="1"/>
  <c r="AM51" i="1" s="1"/>
  <c r="AK51" i="1"/>
  <c r="AL50" i="1"/>
  <c r="AM50" i="1" s="1"/>
  <c r="AK50" i="1"/>
  <c r="AL49" i="1"/>
  <c r="AM49" i="1" s="1"/>
  <c r="AK49" i="1"/>
  <c r="AL48" i="1"/>
  <c r="AM48" i="1" s="1"/>
  <c r="AK48" i="1"/>
  <c r="AL47" i="1"/>
  <c r="AM47" i="1" s="1"/>
  <c r="AK47" i="1"/>
  <c r="AL46" i="1"/>
  <c r="AM46" i="1" s="1"/>
  <c r="AK46" i="1"/>
  <c r="AL45" i="1"/>
  <c r="AM45" i="1" s="1"/>
  <c r="AK45" i="1"/>
  <c r="AL44" i="1"/>
  <c r="AM44" i="1" s="1"/>
  <c r="AK44" i="1"/>
  <c r="AL43" i="1"/>
  <c r="AM43" i="1" s="1"/>
  <c r="AK43" i="1"/>
  <c r="AL42" i="1"/>
  <c r="AM42" i="1" s="1"/>
  <c r="AK42" i="1"/>
  <c r="AL41" i="1"/>
  <c r="AM41" i="1" s="1"/>
  <c r="AK41" i="1"/>
  <c r="AL40" i="1"/>
  <c r="AM40" i="1" s="1"/>
  <c r="AK40" i="1"/>
  <c r="AL39" i="1"/>
  <c r="AM39" i="1" s="1"/>
  <c r="AK39" i="1"/>
  <c r="AL38" i="1"/>
  <c r="AM38" i="1" s="1"/>
  <c r="AK38" i="1"/>
  <c r="AL37" i="1"/>
  <c r="AM37" i="1" s="1"/>
  <c r="AK37" i="1"/>
  <c r="AL36" i="1"/>
  <c r="AM36" i="1" s="1"/>
  <c r="AK36" i="1"/>
  <c r="AL35" i="1"/>
  <c r="AM35" i="1" s="1"/>
  <c r="AK35" i="1"/>
  <c r="AL34" i="1"/>
  <c r="AM34" i="1" s="1"/>
  <c r="AK34" i="1"/>
  <c r="AL33" i="1"/>
  <c r="AM33" i="1" s="1"/>
  <c r="AK33" i="1"/>
  <c r="AL32" i="1"/>
  <c r="AM32" i="1" s="1"/>
  <c r="AK32" i="1"/>
  <c r="AL31" i="1"/>
  <c r="AM31" i="1" s="1"/>
  <c r="AK31" i="1"/>
  <c r="AL30" i="1"/>
  <c r="AM30" i="1" s="1"/>
  <c r="AK30" i="1"/>
  <c r="AL29" i="1"/>
  <c r="AM29" i="1" s="1"/>
  <c r="AK29" i="1"/>
  <c r="AL28" i="1"/>
  <c r="AM28" i="1" s="1"/>
  <c r="AK28" i="1"/>
  <c r="AL27" i="1"/>
  <c r="AM27" i="1" s="1"/>
  <c r="AK27" i="1"/>
  <c r="AL26" i="1"/>
  <c r="AM26" i="1" s="1"/>
  <c r="AK26" i="1"/>
  <c r="AL25" i="1"/>
  <c r="AM25" i="1" s="1"/>
  <c r="AK25" i="1"/>
  <c r="AL24" i="1"/>
  <c r="AM24" i="1" s="1"/>
  <c r="AK24" i="1"/>
  <c r="AL23" i="1"/>
  <c r="AM23" i="1" s="1"/>
  <c r="AK23" i="1"/>
  <c r="AL22" i="1"/>
  <c r="AM22" i="1" s="1"/>
  <c r="AK22" i="1"/>
  <c r="AL21" i="1"/>
  <c r="AM21" i="1" s="1"/>
  <c r="AK21" i="1"/>
  <c r="AL20" i="1"/>
  <c r="AM20" i="1" s="1"/>
  <c r="AK20" i="1"/>
  <c r="AL19" i="1"/>
  <c r="AM19" i="1" s="1"/>
  <c r="AK19" i="1"/>
  <c r="AL18" i="1"/>
  <c r="AM18" i="1" s="1"/>
  <c r="AK18" i="1"/>
  <c r="AL17" i="1"/>
  <c r="AM17" i="1" s="1"/>
  <c r="AK17" i="1"/>
  <c r="AL16" i="1"/>
  <c r="AM16" i="1" s="1"/>
  <c r="AL15" i="1"/>
  <c r="AM15" i="1" s="1"/>
  <c r="AK15" i="1"/>
  <c r="AL14" i="1"/>
  <c r="AM14" i="1" s="1"/>
  <c r="AK14" i="1"/>
  <c r="AL13" i="1"/>
  <c r="AM13" i="1" s="1"/>
  <c r="AK13" i="1"/>
  <c r="AL12" i="1"/>
  <c r="AM12" i="1" s="1"/>
  <c r="AK12" i="1"/>
  <c r="AL11" i="1"/>
  <c r="AM11" i="1" s="1"/>
  <c r="AK11" i="1"/>
  <c r="AL10" i="1"/>
  <c r="AM10" i="1" s="1"/>
  <c r="AK10" i="1"/>
  <c r="AL9" i="1"/>
  <c r="AM9" i="1" s="1"/>
  <c r="AK9" i="1"/>
  <c r="AL8" i="1"/>
  <c r="AM8" i="1" s="1"/>
  <c r="AK8" i="1"/>
  <c r="AL7" i="1"/>
  <c r="AM7" i="1" s="1"/>
  <c r="AK7" i="1"/>
  <c r="AL6" i="1"/>
  <c r="AM6" i="1" s="1"/>
  <c r="AK6" i="1"/>
  <c r="AL5" i="1"/>
  <c r="AM5" i="1" s="1"/>
  <c r="AK5" i="1"/>
  <c r="AL4" i="1"/>
  <c r="AM4" i="1" s="1"/>
  <c r="AK4" i="1"/>
  <c r="AL3" i="1"/>
  <c r="AM3" i="1" s="1"/>
  <c r="AK3" i="1"/>
  <c r="AL2" i="1"/>
  <c r="AM2" i="1" s="1"/>
  <c r="AK2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4" i="1"/>
  <c r="AH13" i="1"/>
  <c r="AH12" i="1"/>
  <c r="AH11" i="1"/>
  <c r="AH10" i="1"/>
  <c r="AH9" i="1"/>
  <c r="AH8" i="1"/>
  <c r="AH7" i="1"/>
  <c r="AH6" i="1"/>
  <c r="AH5" i="1"/>
  <c r="AH4" i="1"/>
  <c r="AH3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C26" i="2"/>
  <c r="C33" i="2" s="1"/>
  <c r="C40" i="2" s="1"/>
  <c r="C47" i="2" s="1"/>
  <c r="C54" i="2" s="1"/>
  <c r="C61" i="2" s="1"/>
  <c r="C68" i="2" s="1"/>
  <c r="C75" i="2" s="1"/>
  <c r="C82" i="2" s="1"/>
  <c r="C89" i="2" s="1"/>
  <c r="C96" i="2" s="1"/>
  <c r="C103" i="2" s="1"/>
  <c r="C110" i="2" s="1"/>
  <c r="C117" i="2" s="1"/>
  <c r="C124" i="2" s="1"/>
  <c r="C131" i="2" s="1"/>
  <c r="C138" i="2" s="1"/>
  <c r="C145" i="2" s="1"/>
  <c r="C152" i="2" s="1"/>
  <c r="C159" i="2" s="1"/>
  <c r="C166" i="2" s="1"/>
  <c r="C173" i="2" s="1"/>
  <c r="C180" i="2" s="1"/>
  <c r="C187" i="2" s="1"/>
  <c r="C194" i="2" s="1"/>
  <c r="C201" i="2" s="1"/>
  <c r="C208" i="2" s="1"/>
  <c r="C215" i="2" s="1"/>
  <c r="C222" i="2" s="1"/>
  <c r="C229" i="2" s="1"/>
  <c r="C236" i="2" s="1"/>
  <c r="C243" i="2" s="1"/>
  <c r="C250" i="2" s="1"/>
  <c r="C257" i="2" s="1"/>
  <c r="C264" i="2" s="1"/>
  <c r="C271" i="2" s="1"/>
  <c r="C278" i="2" s="1"/>
  <c r="C285" i="2" s="1"/>
  <c r="C292" i="2" s="1"/>
  <c r="C299" i="2" s="1"/>
  <c r="C19" i="2"/>
  <c r="C17" i="2"/>
  <c r="C24" i="2" s="1"/>
  <c r="C31" i="2" s="1"/>
  <c r="C38" i="2" s="1"/>
  <c r="C45" i="2" s="1"/>
  <c r="C52" i="2" s="1"/>
  <c r="C59" i="2" s="1"/>
  <c r="C66" i="2" s="1"/>
  <c r="C73" i="2" s="1"/>
  <c r="C80" i="2" s="1"/>
  <c r="C87" i="2" s="1"/>
  <c r="C94" i="2" s="1"/>
  <c r="C101" i="2" s="1"/>
  <c r="C108" i="2" s="1"/>
  <c r="C115" i="2" s="1"/>
  <c r="C122" i="2" s="1"/>
  <c r="C129" i="2" s="1"/>
  <c r="C136" i="2" s="1"/>
  <c r="C143" i="2" s="1"/>
  <c r="C150" i="2" s="1"/>
  <c r="C157" i="2" s="1"/>
  <c r="C164" i="2" s="1"/>
  <c r="C171" i="2" s="1"/>
  <c r="C178" i="2" s="1"/>
  <c r="C185" i="2" s="1"/>
  <c r="C192" i="2" s="1"/>
  <c r="C199" i="2" s="1"/>
  <c r="C206" i="2" s="1"/>
  <c r="C213" i="2" s="1"/>
  <c r="C220" i="2" s="1"/>
  <c r="C227" i="2" s="1"/>
  <c r="C234" i="2" s="1"/>
  <c r="C241" i="2" s="1"/>
  <c r="C248" i="2" s="1"/>
  <c r="C255" i="2" s="1"/>
  <c r="C262" i="2" s="1"/>
  <c r="C269" i="2" s="1"/>
  <c r="C276" i="2" s="1"/>
  <c r="C283" i="2" s="1"/>
  <c r="C290" i="2" s="1"/>
  <c r="C297" i="2" s="1"/>
  <c r="C15" i="2"/>
  <c r="C22" i="2" s="1"/>
  <c r="C29" i="2" s="1"/>
  <c r="C36" i="2" s="1"/>
  <c r="C43" i="2" s="1"/>
  <c r="C50" i="2" s="1"/>
  <c r="C57" i="2" s="1"/>
  <c r="C64" i="2" s="1"/>
  <c r="C71" i="2" s="1"/>
  <c r="C78" i="2" s="1"/>
  <c r="C85" i="2" s="1"/>
  <c r="C92" i="2" s="1"/>
  <c r="C99" i="2" s="1"/>
  <c r="C106" i="2" s="1"/>
  <c r="C113" i="2" s="1"/>
  <c r="C120" i="2" s="1"/>
  <c r="C127" i="2" s="1"/>
  <c r="C134" i="2" s="1"/>
  <c r="C141" i="2" s="1"/>
  <c r="C148" i="2" s="1"/>
  <c r="C155" i="2" s="1"/>
  <c r="C162" i="2" s="1"/>
  <c r="C169" i="2" s="1"/>
  <c r="C176" i="2" s="1"/>
  <c r="C183" i="2" s="1"/>
  <c r="C190" i="2" s="1"/>
  <c r="C197" i="2" s="1"/>
  <c r="C204" i="2" s="1"/>
  <c r="C211" i="2" s="1"/>
  <c r="C218" i="2" s="1"/>
  <c r="C225" i="2" s="1"/>
  <c r="C232" i="2" s="1"/>
  <c r="C239" i="2" s="1"/>
  <c r="C246" i="2" s="1"/>
  <c r="C253" i="2" s="1"/>
  <c r="C260" i="2" s="1"/>
  <c r="C267" i="2" s="1"/>
  <c r="C274" i="2" s="1"/>
  <c r="C281" i="2" s="1"/>
  <c r="C288" i="2" s="1"/>
  <c r="C295" i="2" s="1"/>
  <c r="C14" i="2"/>
  <c r="C21" i="2" s="1"/>
  <c r="C28" i="2" s="1"/>
  <c r="C35" i="2" s="1"/>
  <c r="C42" i="2" s="1"/>
  <c r="C49" i="2" s="1"/>
  <c r="C56" i="2" s="1"/>
  <c r="C63" i="2" s="1"/>
  <c r="C70" i="2" s="1"/>
  <c r="C77" i="2" s="1"/>
  <c r="C84" i="2" s="1"/>
  <c r="C91" i="2" s="1"/>
  <c r="C98" i="2" s="1"/>
  <c r="C105" i="2" s="1"/>
  <c r="C112" i="2" s="1"/>
  <c r="C119" i="2" s="1"/>
  <c r="C126" i="2" s="1"/>
  <c r="C133" i="2" s="1"/>
  <c r="C140" i="2" s="1"/>
  <c r="C147" i="2" s="1"/>
  <c r="C154" i="2" s="1"/>
  <c r="C161" i="2" s="1"/>
  <c r="C168" i="2" s="1"/>
  <c r="C175" i="2" s="1"/>
  <c r="C182" i="2" s="1"/>
  <c r="C189" i="2" s="1"/>
  <c r="C196" i="2" s="1"/>
  <c r="C203" i="2" s="1"/>
  <c r="C210" i="2" s="1"/>
  <c r="C217" i="2" s="1"/>
  <c r="C224" i="2" s="1"/>
  <c r="C231" i="2" s="1"/>
  <c r="C238" i="2" s="1"/>
  <c r="C245" i="2" s="1"/>
  <c r="C252" i="2" s="1"/>
  <c r="C259" i="2" s="1"/>
  <c r="C266" i="2" s="1"/>
  <c r="C273" i="2" s="1"/>
  <c r="C280" i="2" s="1"/>
  <c r="C287" i="2" s="1"/>
  <c r="C294" i="2" s="1"/>
  <c r="C301" i="2" s="1"/>
  <c r="C13" i="2"/>
  <c r="C20" i="2" s="1"/>
  <c r="C27" i="2" s="1"/>
  <c r="C34" i="2" s="1"/>
  <c r="C41" i="2" s="1"/>
  <c r="C48" i="2" s="1"/>
  <c r="C55" i="2" s="1"/>
  <c r="C62" i="2" s="1"/>
  <c r="C69" i="2" s="1"/>
  <c r="C76" i="2" s="1"/>
  <c r="C83" i="2" s="1"/>
  <c r="C90" i="2" s="1"/>
  <c r="C97" i="2" s="1"/>
  <c r="C104" i="2" s="1"/>
  <c r="C111" i="2" s="1"/>
  <c r="C118" i="2" s="1"/>
  <c r="C125" i="2" s="1"/>
  <c r="C132" i="2" s="1"/>
  <c r="C139" i="2" s="1"/>
  <c r="C146" i="2" s="1"/>
  <c r="C153" i="2" s="1"/>
  <c r="C160" i="2" s="1"/>
  <c r="C167" i="2" s="1"/>
  <c r="C174" i="2" s="1"/>
  <c r="C181" i="2" s="1"/>
  <c r="C188" i="2" s="1"/>
  <c r="C195" i="2" s="1"/>
  <c r="C202" i="2" s="1"/>
  <c r="C209" i="2" s="1"/>
  <c r="C216" i="2" s="1"/>
  <c r="C223" i="2" s="1"/>
  <c r="C230" i="2" s="1"/>
  <c r="C237" i="2" s="1"/>
  <c r="C244" i="2" s="1"/>
  <c r="C251" i="2" s="1"/>
  <c r="C258" i="2" s="1"/>
  <c r="C265" i="2" s="1"/>
  <c r="C272" i="2" s="1"/>
  <c r="C279" i="2" s="1"/>
  <c r="C286" i="2" s="1"/>
  <c r="C293" i="2" s="1"/>
  <c r="C300" i="2" s="1"/>
  <c r="C12" i="2"/>
  <c r="C11" i="2"/>
  <c r="C18" i="2" s="1"/>
  <c r="C25" i="2" s="1"/>
  <c r="C32" i="2" s="1"/>
  <c r="C39" i="2" s="1"/>
  <c r="C46" i="2" s="1"/>
  <c r="C53" i="2" s="1"/>
  <c r="C60" i="2" s="1"/>
  <c r="C67" i="2" s="1"/>
  <c r="C74" i="2" s="1"/>
  <c r="C81" i="2" s="1"/>
  <c r="C88" i="2" s="1"/>
  <c r="C95" i="2" s="1"/>
  <c r="C102" i="2" s="1"/>
  <c r="C109" i="2" s="1"/>
  <c r="C116" i="2" s="1"/>
  <c r="C123" i="2" s="1"/>
  <c r="C130" i="2" s="1"/>
  <c r="C137" i="2" s="1"/>
  <c r="C144" i="2" s="1"/>
  <c r="C151" i="2" s="1"/>
  <c r="C158" i="2" s="1"/>
  <c r="C165" i="2" s="1"/>
  <c r="C172" i="2" s="1"/>
  <c r="C179" i="2" s="1"/>
  <c r="C186" i="2" s="1"/>
  <c r="C193" i="2" s="1"/>
  <c r="C200" i="2" s="1"/>
  <c r="C207" i="2" s="1"/>
  <c r="C214" i="2" s="1"/>
  <c r="C221" i="2" s="1"/>
  <c r="C228" i="2" s="1"/>
  <c r="C235" i="2" s="1"/>
  <c r="C242" i="2" s="1"/>
  <c r="C249" i="2" s="1"/>
  <c r="C256" i="2" s="1"/>
  <c r="C263" i="2" s="1"/>
  <c r="C270" i="2" s="1"/>
  <c r="C277" i="2" s="1"/>
  <c r="C284" i="2" s="1"/>
  <c r="C291" i="2" s="1"/>
  <c r="C298" i="2" s="1"/>
  <c r="C10" i="2"/>
  <c r="C9" i="2"/>
  <c r="C16" i="2" s="1"/>
  <c r="C23" i="2" s="1"/>
  <c r="C30" i="2" s="1"/>
  <c r="C37" i="2" s="1"/>
  <c r="C44" i="2" s="1"/>
  <c r="C51" i="2" s="1"/>
  <c r="C58" i="2" s="1"/>
  <c r="C65" i="2" s="1"/>
  <c r="C72" i="2" s="1"/>
  <c r="C79" i="2" s="1"/>
  <c r="C86" i="2" s="1"/>
  <c r="C93" i="2" s="1"/>
  <c r="C100" i="2" s="1"/>
  <c r="C107" i="2" s="1"/>
  <c r="C114" i="2" s="1"/>
  <c r="C121" i="2" s="1"/>
  <c r="C128" i="2" s="1"/>
  <c r="C135" i="2" s="1"/>
  <c r="C142" i="2" s="1"/>
  <c r="C149" i="2" s="1"/>
  <c r="C156" i="2" s="1"/>
  <c r="C163" i="2" s="1"/>
  <c r="C170" i="2" s="1"/>
  <c r="C177" i="2" s="1"/>
  <c r="C184" i="2" s="1"/>
  <c r="C191" i="2" s="1"/>
  <c r="C198" i="2" s="1"/>
  <c r="C205" i="2" s="1"/>
  <c r="C212" i="2" s="1"/>
  <c r="C219" i="2" s="1"/>
  <c r="C226" i="2" s="1"/>
  <c r="C233" i="2" s="1"/>
  <c r="C240" i="2" s="1"/>
  <c r="C247" i="2" s="1"/>
  <c r="C254" i="2" s="1"/>
  <c r="C261" i="2" s="1"/>
  <c r="C268" i="2" s="1"/>
  <c r="C275" i="2" s="1"/>
  <c r="C282" i="2" s="1"/>
  <c r="C289" i="2" s="1"/>
  <c r="C296" i="2" s="1"/>
  <c r="C8" i="2"/>
  <c r="E3" i="5" l="1"/>
  <c r="G3" i="5"/>
  <c r="F16" i="4"/>
  <c r="F7" i="4"/>
  <c r="H3" i="5"/>
  <c r="E35" i="4"/>
  <c r="E27" i="4"/>
  <c r="E20" i="4"/>
  <c r="F12" i="4"/>
  <c r="E5" i="4"/>
  <c r="F34" i="4"/>
  <c r="F26" i="4"/>
  <c r="F19" i="4"/>
  <c r="E12" i="4"/>
  <c r="F4" i="4"/>
  <c r="E33" i="4"/>
  <c r="E26" i="4"/>
  <c r="E19" i="4"/>
  <c r="F11" i="4"/>
  <c r="F32" i="4"/>
  <c r="F25" i="4"/>
  <c r="F18" i="4"/>
  <c r="E11" i="4"/>
  <c r="C7" i="5"/>
  <c r="E39" i="4"/>
  <c r="E32" i="4"/>
  <c r="E25" i="4"/>
  <c r="E18" i="4"/>
  <c r="F10" i="4"/>
  <c r="F17" i="4"/>
  <c r="F8" i="4"/>
  <c r="E38" i="4"/>
  <c r="E31" i="4"/>
  <c r="E24" i="4"/>
  <c r="E17" i="4"/>
  <c r="E8" i="4"/>
  <c r="E34" i="4"/>
  <c r="E28" i="4"/>
  <c r="E22" i="4"/>
  <c r="E16" i="4"/>
  <c r="E10" i="4"/>
  <c r="E4" i="4"/>
  <c r="F39" i="4"/>
  <c r="F33" i="4"/>
  <c r="F27" i="4"/>
  <c r="F21" i="4"/>
  <c r="F15" i="4"/>
  <c r="F9" i="4"/>
  <c r="F3" i="4"/>
  <c r="E15" i="4"/>
  <c r="E9" i="4"/>
  <c r="H4" i="4" l="1"/>
  <c r="J3" i="4"/>
  <c r="C11" i="5"/>
  <c r="H5" i="4" l="1"/>
  <c r="J4" i="4"/>
  <c r="O4" i="4" s="1"/>
  <c r="H6" i="4" l="1"/>
  <c r="J5" i="4"/>
  <c r="O5" i="4" s="1"/>
  <c r="H7" i="4" l="1"/>
  <c r="J6" i="4"/>
  <c r="O6" i="4" s="1"/>
  <c r="H8" i="4" l="1"/>
  <c r="J7" i="4"/>
  <c r="O7" i="4" s="1"/>
  <c r="H9" i="4" l="1"/>
  <c r="J8" i="4"/>
  <c r="O8" i="4" s="1"/>
  <c r="H10" i="4" l="1"/>
  <c r="J9" i="4"/>
  <c r="O9" i="4" s="1"/>
  <c r="H11" i="4" l="1"/>
  <c r="J10" i="4"/>
  <c r="O10" i="4" s="1"/>
  <c r="H12" i="4" l="1"/>
  <c r="J11" i="4"/>
  <c r="O11" i="4" s="1"/>
  <c r="H13" i="4" l="1"/>
  <c r="J12" i="4"/>
  <c r="O12" i="4" s="1"/>
  <c r="H14" i="4" l="1"/>
  <c r="J13" i="4"/>
  <c r="O13" i="4" s="1"/>
  <c r="H15" i="4" l="1"/>
  <c r="J14" i="4"/>
  <c r="O14" i="4" s="1"/>
  <c r="H16" i="4" l="1"/>
  <c r="J15" i="4"/>
  <c r="O15" i="4" s="1"/>
  <c r="H17" i="4" l="1"/>
  <c r="J16" i="4"/>
  <c r="O16" i="4" s="1"/>
  <c r="H18" i="4" l="1"/>
  <c r="J17" i="4"/>
  <c r="O17" i="4" s="1"/>
  <c r="H19" i="4" l="1"/>
  <c r="J18" i="4"/>
  <c r="O18" i="4" s="1"/>
  <c r="H20" i="4" l="1"/>
  <c r="J19" i="4"/>
  <c r="O19" i="4" s="1"/>
  <c r="H21" i="4" l="1"/>
  <c r="J20" i="4"/>
  <c r="O20" i="4" s="1"/>
  <c r="H22" i="4" l="1"/>
  <c r="J21" i="4"/>
  <c r="O21" i="4" s="1"/>
  <c r="J22" i="4" l="1"/>
  <c r="O22" i="4" s="1"/>
  <c r="L22" i="4"/>
  <c r="C12" i="5"/>
  <c r="N22" i="4" l="1"/>
  <c r="L23" i="4"/>
  <c r="C13" i="5"/>
  <c r="H5" i="6" s="1"/>
  <c r="C6" i="9"/>
  <c r="H11" i="6"/>
  <c r="C14" i="5"/>
  <c r="H18" i="6" s="1"/>
  <c r="N23" i="4" l="1"/>
  <c r="P23" i="4" s="1"/>
  <c r="L24" i="4"/>
  <c r="L25" i="4" l="1"/>
  <c r="N24" i="4"/>
  <c r="P24" i="4" s="1"/>
  <c r="L26" i="4" l="1"/>
  <c r="N25" i="4"/>
  <c r="P25" i="4" s="1"/>
  <c r="L27" i="4" l="1"/>
  <c r="N26" i="4"/>
  <c r="P26" i="4" s="1"/>
  <c r="L28" i="4" l="1"/>
  <c r="N27" i="4"/>
  <c r="P27" i="4" s="1"/>
  <c r="L29" i="4" l="1"/>
  <c r="N28" i="4"/>
  <c r="P28" i="4" s="1"/>
  <c r="L30" i="4" l="1"/>
  <c r="N29" i="4"/>
  <c r="P29" i="4" s="1"/>
  <c r="L31" i="4" l="1"/>
  <c r="N30" i="4"/>
  <c r="P30" i="4" s="1"/>
  <c r="L32" i="4" l="1"/>
  <c r="N31" i="4"/>
  <c r="P31" i="4" s="1"/>
  <c r="L33" i="4" l="1"/>
  <c r="N32" i="4"/>
  <c r="P32" i="4" s="1"/>
  <c r="L34" i="4" l="1"/>
  <c r="N33" i="4"/>
  <c r="P33" i="4" s="1"/>
  <c r="L35" i="4" l="1"/>
  <c r="N34" i="4"/>
  <c r="P34" i="4" s="1"/>
  <c r="L36" i="4" l="1"/>
  <c r="N35" i="4"/>
  <c r="P35" i="4" s="1"/>
  <c r="L37" i="4" l="1"/>
  <c r="N36" i="4"/>
  <c r="P36" i="4" s="1"/>
  <c r="L38" i="4" l="1"/>
  <c r="N37" i="4"/>
  <c r="P37" i="4" s="1"/>
  <c r="L39" i="4" l="1"/>
  <c r="N39" i="4" s="1"/>
  <c r="P39" i="4" s="1"/>
  <c r="N38" i="4"/>
  <c r="P38" i="4" s="1"/>
</calcChain>
</file>

<file path=xl/sharedStrings.xml><?xml version="1.0" encoding="utf-8"?>
<sst xmlns="http://schemas.openxmlformats.org/spreadsheetml/2006/main" count="2067" uniqueCount="582">
  <si>
    <t>Código</t>
  </si>
  <si>
    <t>Nome</t>
  </si>
  <si>
    <t>Macro Etapa</t>
  </si>
  <si>
    <t>Rede</t>
  </si>
  <si>
    <t>Duração</t>
  </si>
  <si>
    <t>Planej. Inicial</t>
  </si>
  <si>
    <t>Planej. Final</t>
  </si>
  <si>
    <t>Início</t>
  </si>
  <si>
    <t>Fim</t>
  </si>
  <si>
    <t xml:space="preserve"> Custo </t>
  </si>
  <si>
    <t>Custo M.O</t>
  </si>
  <si>
    <t>Equipe</t>
  </si>
  <si>
    <t>Recursos da Equipe</t>
  </si>
  <si>
    <t>Progresso do Projeto</t>
  </si>
  <si>
    <t>Sigla</t>
  </si>
  <si>
    <t>Localização</t>
  </si>
  <si>
    <t>USER 1</t>
  </si>
  <si>
    <t>TASKTYPE 1</t>
  </si>
  <si>
    <t>USER 2</t>
  </si>
  <si>
    <t>USER 3</t>
  </si>
  <si>
    <t>Progresso Planejado</t>
  </si>
  <si>
    <t>ESTRUTURA/ACABAMENTOS</t>
  </si>
  <si>
    <t>1.1</t>
  </si>
  <si>
    <t>FUND</t>
  </si>
  <si>
    <t>1.1.1.1</t>
  </si>
  <si>
    <t>Locação e Gabarito</t>
  </si>
  <si>
    <t>GERAL</t>
  </si>
  <si>
    <t>FUNDAÇÃO</t>
  </si>
  <si>
    <t>0_FUND</t>
  </si>
  <si>
    <t>m²</t>
  </si>
  <si>
    <t>1.1.1.2</t>
  </si>
  <si>
    <t>Estacas</t>
  </si>
  <si>
    <t>EST</t>
  </si>
  <si>
    <t>EST_FUND</t>
  </si>
  <si>
    <t>Construct</t>
  </si>
  <si>
    <t>m³</t>
  </si>
  <si>
    <t>1.1.1.3</t>
  </si>
  <si>
    <t>Vigas Baldrames</t>
  </si>
  <si>
    <t>VGB</t>
  </si>
  <si>
    <t>VGB_FUND</t>
  </si>
  <si>
    <t>1.1.1.4</t>
  </si>
  <si>
    <t>Instalações Enterradas</t>
  </si>
  <si>
    <t>INSENT</t>
  </si>
  <si>
    <t>INSENT_FUND</t>
  </si>
  <si>
    <t>torre</t>
  </si>
  <si>
    <t>1.1.1.5</t>
  </si>
  <si>
    <t>Contrapiso</t>
  </si>
  <si>
    <t>CONT</t>
  </si>
  <si>
    <t>CONT_FUND</t>
  </si>
  <si>
    <t>1.2</t>
  </si>
  <si>
    <t>PAV1</t>
  </si>
  <si>
    <t>_</t>
  </si>
  <si>
    <t>1.2.2.3</t>
  </si>
  <si>
    <t>Alvenaria Estrutural</t>
  </si>
  <si>
    <t>TIPO</t>
  </si>
  <si>
    <t>ALV</t>
  </si>
  <si>
    <t>ALV_PAV1</t>
  </si>
  <si>
    <t>1.2.2.4</t>
  </si>
  <si>
    <t>Estrutura Moldado in Loco</t>
  </si>
  <si>
    <t>ESTINLOCO</t>
  </si>
  <si>
    <t>ESTINLOCO_PAV1</t>
  </si>
  <si>
    <t>1.2.2.5</t>
  </si>
  <si>
    <t>Instalações Hidrossanitárias</t>
  </si>
  <si>
    <t>HIDRO</t>
  </si>
  <si>
    <t>HIDRO_PAV1</t>
  </si>
  <si>
    <t>pvto</t>
  </si>
  <si>
    <t>1.2.2.6</t>
  </si>
  <si>
    <t>Reboco Interno</t>
  </si>
  <si>
    <t>REBINT</t>
  </si>
  <si>
    <t>REBINT_PAV1</t>
  </si>
  <si>
    <t>1.2.2.7</t>
  </si>
  <si>
    <t xml:space="preserve">Shaft </t>
  </si>
  <si>
    <t>SHAFT</t>
  </si>
  <si>
    <t>SHAFT_PAV1</t>
  </si>
  <si>
    <t>1.2.2.8</t>
  </si>
  <si>
    <t>Impermeabilização</t>
  </si>
  <si>
    <t>IMP</t>
  </si>
  <si>
    <t>IMP_PAV1</t>
  </si>
  <si>
    <t>1.2.2.9</t>
  </si>
  <si>
    <t>Cerâmica</t>
  </si>
  <si>
    <t>CERAM</t>
  </si>
  <si>
    <t>CERAM_PAV1</t>
  </si>
  <si>
    <t>1.2.2.10</t>
  </si>
  <si>
    <t>Gesso Liso</t>
  </si>
  <si>
    <t>GEPINT</t>
  </si>
  <si>
    <t>GEPINT_PAV1</t>
  </si>
  <si>
    <t>GESSO</t>
  </si>
  <si>
    <t>1.2.2.11</t>
  </si>
  <si>
    <t xml:space="preserve">Esquadria </t>
  </si>
  <si>
    <t>ESQ</t>
  </si>
  <si>
    <t>ESQ_PAV1</t>
  </si>
  <si>
    <t>und</t>
  </si>
  <si>
    <t>1.2.2.12</t>
  </si>
  <si>
    <t>Fiação</t>
  </si>
  <si>
    <t>FIA</t>
  </si>
  <si>
    <t>apto</t>
  </si>
  <si>
    <t>1.2.2.13</t>
  </si>
  <si>
    <t>Forro</t>
  </si>
  <si>
    <t>FOR</t>
  </si>
  <si>
    <t>FOR_PAV1</t>
  </si>
  <si>
    <t>1.2.2.17</t>
  </si>
  <si>
    <t>Rev. da Circulação</t>
  </si>
  <si>
    <t>REVCIRC</t>
  </si>
  <si>
    <t>REVCIRC_PAV1</t>
  </si>
  <si>
    <t>1.2.2.14</t>
  </si>
  <si>
    <t>Disjuntores e CD</t>
  </si>
  <si>
    <t>DISJ</t>
  </si>
  <si>
    <t>DISJ_PAV1</t>
  </si>
  <si>
    <t>1.2.2.16</t>
  </si>
  <si>
    <t>Pintura Interna - 1ªdmão</t>
  </si>
  <si>
    <t>PINT</t>
  </si>
  <si>
    <t>1.2.2.18</t>
  </si>
  <si>
    <t>Louças</t>
  </si>
  <si>
    <t>LOU</t>
  </si>
  <si>
    <t>LOU_PAV1</t>
  </si>
  <si>
    <t>1.2.2.19</t>
  </si>
  <si>
    <t>Portas de Madeira</t>
  </si>
  <si>
    <t>PM</t>
  </si>
  <si>
    <t>PM_PAV1</t>
  </si>
  <si>
    <t>1.2.2.24</t>
  </si>
  <si>
    <t>Esquadria de Ferro Circulação</t>
  </si>
  <si>
    <t>EF</t>
  </si>
  <si>
    <t>EF_PAV1</t>
  </si>
  <si>
    <t>m</t>
  </si>
  <si>
    <t>1.2.2.15</t>
  </si>
  <si>
    <t>Piso Laminado + Rodapé</t>
  </si>
  <si>
    <t>LAM</t>
  </si>
  <si>
    <t>LAM_PAV1</t>
  </si>
  <si>
    <t>1.2.2.20</t>
  </si>
  <si>
    <t>Metais</t>
  </si>
  <si>
    <t>METAIS</t>
  </si>
  <si>
    <t>METAIS_PAV1</t>
  </si>
  <si>
    <t>1.2.2.21</t>
  </si>
  <si>
    <t>Acabamentos Elétricos</t>
  </si>
  <si>
    <t>ACAB</t>
  </si>
  <si>
    <t>1.2.2.22</t>
  </si>
  <si>
    <t>Pintura Final</t>
  </si>
  <si>
    <t>PINTF</t>
  </si>
  <si>
    <t>1.2.2.23</t>
  </si>
  <si>
    <t>Complementação e Limpeza</t>
  </si>
  <si>
    <t>COMPL</t>
  </si>
  <si>
    <t>1.3</t>
  </si>
  <si>
    <t>PAV2</t>
  </si>
  <si>
    <t>1.3.2.3</t>
  </si>
  <si>
    <t>ALV_PAV2</t>
  </si>
  <si>
    <t>1.3.2.4</t>
  </si>
  <si>
    <t>ESTINLOCO_PAV2</t>
  </si>
  <si>
    <t>1.3.2.5</t>
  </si>
  <si>
    <t>HIDRO_PAV2</t>
  </si>
  <si>
    <t>1.3.2.6</t>
  </si>
  <si>
    <t>REBINT_PAV2</t>
  </si>
  <si>
    <t>1.3.2.7</t>
  </si>
  <si>
    <t>SHAFT_PAV2</t>
  </si>
  <si>
    <t>1.3.2.8</t>
  </si>
  <si>
    <t>IMP_PAV2</t>
  </si>
  <si>
    <t>1.3.2.9</t>
  </si>
  <si>
    <t>CERAM_PAV2</t>
  </si>
  <si>
    <t>1.3.2.10</t>
  </si>
  <si>
    <t>GEPINT_PAV2</t>
  </si>
  <si>
    <t>1.3.2.11</t>
  </si>
  <si>
    <t>ESQ_PAV2</t>
  </si>
  <si>
    <t>1.3.2.12</t>
  </si>
  <si>
    <t>1.3.2.13</t>
  </si>
  <si>
    <t>FOR_PAV2</t>
  </si>
  <si>
    <t>1.3.2.17</t>
  </si>
  <si>
    <t>REVCIRC_PAV2</t>
  </si>
  <si>
    <t>1.3.2.14</t>
  </si>
  <si>
    <t>DISJ_PAV2</t>
  </si>
  <si>
    <t>1.3.2.16</t>
  </si>
  <si>
    <t>1.3.2.18</t>
  </si>
  <si>
    <t>LOU_PAV2</t>
  </si>
  <si>
    <t>1.3.2.24</t>
  </si>
  <si>
    <t>EF_PAV2</t>
  </si>
  <si>
    <t>1.3.2.19</t>
  </si>
  <si>
    <t>PM_PAV2</t>
  </si>
  <si>
    <t>1.3.2.15</t>
  </si>
  <si>
    <t>LAM_PAV2</t>
  </si>
  <si>
    <t>1.3.2.20</t>
  </si>
  <si>
    <t>METAIS_PAV2</t>
  </si>
  <si>
    <t>1.3.2.21</t>
  </si>
  <si>
    <t>1.3.2.22</t>
  </si>
  <si>
    <t>1.3.2.23</t>
  </si>
  <si>
    <t>1.4</t>
  </si>
  <si>
    <t>PAV3</t>
  </si>
  <si>
    <t>1.4.2.3</t>
  </si>
  <si>
    <t>ALV_PAV3</t>
  </si>
  <si>
    <t>1.4.2.4</t>
  </si>
  <si>
    <t>ESTINLOCO_PAV3</t>
  </si>
  <si>
    <t>1.4.2.5</t>
  </si>
  <si>
    <t>HIDRO_PAV3</t>
  </si>
  <si>
    <t>1.4.2.6</t>
  </si>
  <si>
    <t>REBINT_PAV3</t>
  </si>
  <si>
    <t>1.4.2.7</t>
  </si>
  <si>
    <t>SHAFT_PAV3</t>
  </si>
  <si>
    <t>1.4.2.8</t>
  </si>
  <si>
    <t>IMP_PAV3</t>
  </si>
  <si>
    <t>1.4.2.9</t>
  </si>
  <si>
    <t>CERAM_PAV3</t>
  </si>
  <si>
    <t>1.4.2.10</t>
  </si>
  <si>
    <t>GEPINT_PAV3</t>
  </si>
  <si>
    <t>1.4.2.11</t>
  </si>
  <si>
    <t>ESQ_PAV3</t>
  </si>
  <si>
    <t>1.4.2.12</t>
  </si>
  <si>
    <t>1.4.2.13</t>
  </si>
  <si>
    <t>FOR_PAV3</t>
  </si>
  <si>
    <t>1.4.2.17</t>
  </si>
  <si>
    <t>REVCIRC_PAV3</t>
  </si>
  <si>
    <t>1.4.2.14</t>
  </si>
  <si>
    <t>DISJ_PAV3</t>
  </si>
  <si>
    <t>1.4.2.16</t>
  </si>
  <si>
    <t>1.4.2.24</t>
  </si>
  <si>
    <t>EF_PAV3</t>
  </si>
  <si>
    <t>1.4.2.18</t>
  </si>
  <si>
    <t>LOU_PAV3</t>
  </si>
  <si>
    <t>1.4.2.19</t>
  </si>
  <si>
    <t>PM_PAV3</t>
  </si>
  <si>
    <t>1.4.2.15</t>
  </si>
  <si>
    <t>LAM_PAV3</t>
  </si>
  <si>
    <t>1.4.2.20</t>
  </si>
  <si>
    <t>METAIS_PAV3</t>
  </si>
  <si>
    <t>1.4.2.21</t>
  </si>
  <si>
    <t>1.4.2.22</t>
  </si>
  <si>
    <t>1.4.2.23</t>
  </si>
  <si>
    <t>1.5</t>
  </si>
  <si>
    <t>PAV4</t>
  </si>
  <si>
    <t>1.5.2.3</t>
  </si>
  <si>
    <t>ALV_PAV4</t>
  </si>
  <si>
    <t>1.5.2.4</t>
  </si>
  <si>
    <t>ESTINLOCO_PAV4</t>
  </si>
  <si>
    <t>1.5.2.5</t>
  </si>
  <si>
    <t>HIDRO_PAV4</t>
  </si>
  <si>
    <t>1.5.2.6</t>
  </si>
  <si>
    <t>REBINT_PAV4</t>
  </si>
  <si>
    <t>1.5.2.7</t>
  </si>
  <si>
    <t>SHAFT_PAV4</t>
  </si>
  <si>
    <t>1.5.2.8</t>
  </si>
  <si>
    <t>IMP_PAV4</t>
  </si>
  <si>
    <t>1.5.2.9</t>
  </si>
  <si>
    <t>CERAM_PAV4</t>
  </si>
  <si>
    <t>1.5.2.10</t>
  </si>
  <si>
    <t>GEPINT_PAV4</t>
  </si>
  <si>
    <t>1.5.2.11</t>
  </si>
  <si>
    <t>ESQ_PAV4</t>
  </si>
  <si>
    <t>1.5.2.12</t>
  </si>
  <si>
    <t>1.5.2.13</t>
  </si>
  <si>
    <t>FOR_PAV4</t>
  </si>
  <si>
    <t>1.5.2.14</t>
  </si>
  <si>
    <t>DISJ_PAV4</t>
  </si>
  <si>
    <t>1.5.2.17</t>
  </si>
  <si>
    <t>REVCIRC_PAV4</t>
  </si>
  <si>
    <t>1.5.2.24</t>
  </si>
  <si>
    <t>EF_PAV4</t>
  </si>
  <si>
    <t>1.5.2.16</t>
  </si>
  <si>
    <t>1.5.2.18</t>
  </si>
  <si>
    <t>LOU_PAV4</t>
  </si>
  <si>
    <t>1.5.2.19</t>
  </si>
  <si>
    <t>PM_PAV4</t>
  </si>
  <si>
    <t>1.5.2.15</t>
  </si>
  <si>
    <t>LAM_PAV4</t>
  </si>
  <si>
    <t>1.5.2.20</t>
  </si>
  <si>
    <t>METAIS_PAV4</t>
  </si>
  <si>
    <t>1.5.2.21</t>
  </si>
  <si>
    <t>1.5.2.22</t>
  </si>
  <si>
    <t>1.5.2.23</t>
  </si>
  <si>
    <t>1.6</t>
  </si>
  <si>
    <t>COB</t>
  </si>
  <si>
    <t>1.6.3.1</t>
  </si>
  <si>
    <t>COBERTURA</t>
  </si>
  <si>
    <t>ALV_COB</t>
  </si>
  <si>
    <t>1.6.3.2</t>
  </si>
  <si>
    <t>HIDRO_COB</t>
  </si>
  <si>
    <t xml:space="preserve"> -   </t>
  </si>
  <si>
    <t>1.6.3.3</t>
  </si>
  <si>
    <t>Impermeabilização do Telhado</t>
  </si>
  <si>
    <t>TELHA</t>
  </si>
  <si>
    <t>TELHA_COB</t>
  </si>
  <si>
    <t>IMPTEL</t>
  </si>
  <si>
    <t>1.6.3.4</t>
  </si>
  <si>
    <t>Telhado</t>
  </si>
  <si>
    <t>TEL</t>
  </si>
  <si>
    <t>1.6.3.5</t>
  </si>
  <si>
    <t>Algerosas + Rufos</t>
  </si>
  <si>
    <t>ALG</t>
  </si>
  <si>
    <t>FACHADA</t>
  </si>
  <si>
    <t>3.1</t>
  </si>
  <si>
    <t>PANO 1</t>
  </si>
  <si>
    <t>3.1.4.1</t>
  </si>
  <si>
    <t>Reboco Externo</t>
  </si>
  <si>
    <t>REVEXT</t>
  </si>
  <si>
    <t>PANO1</t>
  </si>
  <si>
    <t>REVEXT_PANO1</t>
  </si>
  <si>
    <t>REBEXT</t>
  </si>
  <si>
    <t>3.1.4.2</t>
  </si>
  <si>
    <t xml:space="preserve">Pintura Externa </t>
  </si>
  <si>
    <t>PINTEXT</t>
  </si>
  <si>
    <t>3.2</t>
  </si>
  <si>
    <t>PANO 2</t>
  </si>
  <si>
    <t>3.2.4.1</t>
  </si>
  <si>
    <t>PANO2</t>
  </si>
  <si>
    <t>REVEXT_PANO2</t>
  </si>
  <si>
    <t>3.2.4.2</t>
  </si>
  <si>
    <t>3.3</t>
  </si>
  <si>
    <t>PANO 3</t>
  </si>
  <si>
    <t>3.3.4.1</t>
  </si>
  <si>
    <t>PANO3</t>
  </si>
  <si>
    <t>REVEXT_PANO3</t>
  </si>
  <si>
    <t>3.3.4.2</t>
  </si>
  <si>
    <t>3.4</t>
  </si>
  <si>
    <t>PANO 4</t>
  </si>
  <si>
    <t>3.4.4.1</t>
  </si>
  <si>
    <t>PANO4</t>
  </si>
  <si>
    <t>REVEXT_PANO4</t>
  </si>
  <si>
    <t>3.4.4.2</t>
  </si>
  <si>
    <t>3.5</t>
  </si>
  <si>
    <t>PANO 5</t>
  </si>
  <si>
    <t>3.5.4.1</t>
  </si>
  <si>
    <t>PANO5</t>
  </si>
  <si>
    <t>REVEXT_PANO5</t>
  </si>
  <si>
    <t>3.5.4.2</t>
  </si>
  <si>
    <t>3.6</t>
  </si>
  <si>
    <t>PANO 6</t>
  </si>
  <si>
    <t>3.6.4.1</t>
  </si>
  <si>
    <t>PANO6</t>
  </si>
  <si>
    <t>REVEXT_PANO6</t>
  </si>
  <si>
    <t>3.6.4.2</t>
  </si>
  <si>
    <t>SEM. INÍCIO PLAN</t>
  </si>
  <si>
    <t>SEM. TÉRM PLAN</t>
  </si>
  <si>
    <t>CUSTO PLANEJADO</t>
  </si>
  <si>
    <t>SEM. INÍCIO EXE</t>
  </si>
  <si>
    <t>SEM. TÉRM EXE</t>
  </si>
  <si>
    <t>CUSTO EXECUTADO</t>
  </si>
  <si>
    <t>SEM. INÍCIO REPLAN</t>
  </si>
  <si>
    <t>SEM. TÉRM REPLAN</t>
  </si>
  <si>
    <t>CUSTO REPLAN</t>
  </si>
  <si>
    <t>TÉRMINO REPLAN</t>
  </si>
  <si>
    <t>INÍCIO REPLAN</t>
  </si>
  <si>
    <t>Segunda</t>
  </si>
  <si>
    <t xml:space="preserve">Terca </t>
  </si>
  <si>
    <t>Quarta</t>
  </si>
  <si>
    <t>Quinta</t>
  </si>
  <si>
    <t>Sexta</t>
  </si>
  <si>
    <t xml:space="preserve">Sabado </t>
  </si>
  <si>
    <t>Domingo</t>
  </si>
  <si>
    <t>Rótulos de Linha</t>
  </si>
  <si>
    <t>Total Geral</t>
  </si>
  <si>
    <t xml:space="preserve">Soma de  Custo </t>
  </si>
  <si>
    <t>planejado</t>
  </si>
  <si>
    <t>executado</t>
  </si>
  <si>
    <t>previsão</t>
  </si>
  <si>
    <t>Soma de CUSTO EXECUTADO</t>
  </si>
  <si>
    <t>Soma de CUSTO REPLAN</t>
  </si>
  <si>
    <t>% acumulado</t>
  </si>
  <si>
    <t>% semana</t>
  </si>
  <si>
    <t>R$ acumulado</t>
  </si>
  <si>
    <t>R$ semana</t>
  </si>
  <si>
    <t xml:space="preserve">SEMANA </t>
  </si>
  <si>
    <t>PREVISÃO</t>
  </si>
  <si>
    <t>EXECUTADO</t>
  </si>
  <si>
    <t>PLANEJADO</t>
  </si>
  <si>
    <t>Data de Status</t>
  </si>
  <si>
    <t xml:space="preserve">EMPREENDIMENTO: </t>
  </si>
  <si>
    <t>NATBIM</t>
  </si>
  <si>
    <t>DATA DE STATUS</t>
  </si>
  <si>
    <t>SEMANA DE STATUS</t>
  </si>
  <si>
    <t>DATA</t>
  </si>
  <si>
    <t>Término</t>
  </si>
  <si>
    <t>DURAÇÃO</t>
  </si>
  <si>
    <t>Total - Corrido</t>
  </si>
  <si>
    <t>Total - Úteis</t>
  </si>
  <si>
    <t>Decorridos</t>
  </si>
  <si>
    <t>Faltantes</t>
  </si>
  <si>
    <t>% FÍSICO PLANEJADO</t>
  </si>
  <si>
    <t>% FÍSICO EXECUTADO</t>
  </si>
  <si>
    <t>IDP</t>
  </si>
  <si>
    <t>DESVIO %</t>
  </si>
  <si>
    <t>DESVIO DIAS</t>
  </si>
  <si>
    <t>INDICADORES</t>
  </si>
  <si>
    <t>LONGO PRAZO</t>
  </si>
  <si>
    <t>MÉDIO PRAZO</t>
  </si>
  <si>
    <t>CURTO PRAZO</t>
  </si>
  <si>
    <t>PPC 19</t>
  </si>
  <si>
    <t>PPC 20</t>
  </si>
  <si>
    <t>PPC 18</t>
  </si>
  <si>
    <t>PPC 17</t>
  </si>
  <si>
    <t>TERMINALIDADE</t>
  </si>
  <si>
    <t>ADERÊNCIA AO LOTE</t>
  </si>
  <si>
    <t>Nome 2</t>
  </si>
  <si>
    <t>01.Locação e Gabarito</t>
  </si>
  <si>
    <t>02.Estacas</t>
  </si>
  <si>
    <t>03.Vigas Baldrames</t>
  </si>
  <si>
    <t>04.Instalações Enterradas</t>
  </si>
  <si>
    <t>05.Contrapiso</t>
  </si>
  <si>
    <t>06.Alvenaria Estrutural</t>
  </si>
  <si>
    <t>07.Estrutura Moldado in Loco</t>
  </si>
  <si>
    <t>08.Instalações</t>
  </si>
  <si>
    <t>09.Reboco Interno</t>
  </si>
  <si>
    <t xml:space="preserve">10.Shaft </t>
  </si>
  <si>
    <t>11.Impermeabilização do WC</t>
  </si>
  <si>
    <t>12.Cerâmica</t>
  </si>
  <si>
    <t>13.Gesso Liso</t>
  </si>
  <si>
    <t>14.Esquadria de Aluminio</t>
  </si>
  <si>
    <t>15.Fiação</t>
  </si>
  <si>
    <t>16.Forro</t>
  </si>
  <si>
    <t>17.Revestimento da Circulação</t>
  </si>
  <si>
    <t>18.Disjuntores e CD</t>
  </si>
  <si>
    <t>19.Pintura Interna - 1ªdmão</t>
  </si>
  <si>
    <t>20.Louças</t>
  </si>
  <si>
    <t>21.Portas de Madeira</t>
  </si>
  <si>
    <t>22.Esquadria de Ferro</t>
  </si>
  <si>
    <t>23.Piso Vinilico</t>
  </si>
  <si>
    <t>24.Metais</t>
  </si>
  <si>
    <t>25.Acabamentos Elétricos</t>
  </si>
  <si>
    <t>26.Pintura Final</t>
  </si>
  <si>
    <t>27.Complementação e Limpeza</t>
  </si>
  <si>
    <t>28.Instalações Cob</t>
  </si>
  <si>
    <t>29.Impermeabilização do Telhado</t>
  </si>
  <si>
    <t>30.Telhado</t>
  </si>
  <si>
    <t>31.Algerosas + Rufos</t>
  </si>
  <si>
    <t>32.Reboco Externo</t>
  </si>
  <si>
    <t>33.Pintura Externa</t>
  </si>
  <si>
    <t>Meses</t>
  </si>
  <si>
    <t>ANÁLISE DO PLANO DE LONGO PRAZO</t>
  </si>
  <si>
    <t>ANÁLISE DO PLANO DE MÉDIO PRAZO</t>
  </si>
  <si>
    <t xml:space="preserve">STATUS </t>
  </si>
  <si>
    <t>PLAN</t>
  </si>
  <si>
    <t>ATRASADO</t>
  </si>
  <si>
    <t>EXE</t>
  </si>
  <si>
    <t xml:space="preserve">EM ANDAMENTO </t>
  </si>
  <si>
    <t>EM ESPERA</t>
  </si>
  <si>
    <t>TORRE</t>
  </si>
  <si>
    <t>NA</t>
  </si>
  <si>
    <t>PROJEÇÃO DO FLUXO DE CAIXA</t>
  </si>
  <si>
    <t>ANÁLISE DE CUSTO PRESENTE</t>
  </si>
  <si>
    <t>ANÁLISE DE CUSTO FUTURA</t>
  </si>
  <si>
    <t>Locação e GabaritoFUND</t>
  </si>
  <si>
    <t>EstacasFUND</t>
  </si>
  <si>
    <t>Vigas BaldramesFUND</t>
  </si>
  <si>
    <t>Instalações EnterradasFUND</t>
  </si>
  <si>
    <t>ContrapisoFUND</t>
  </si>
  <si>
    <t>Alvenaria EstruturalPAV1</t>
  </si>
  <si>
    <t>Estrutura Moldado in LocoPAV1</t>
  </si>
  <si>
    <t>Instalações HidrossanitáriasPAV1</t>
  </si>
  <si>
    <t>Reboco InternoPAV1</t>
  </si>
  <si>
    <t>Shaft PAV1</t>
  </si>
  <si>
    <t>ImpermeabilizaçãoPAV1</t>
  </si>
  <si>
    <t>CerâmicaPAV1</t>
  </si>
  <si>
    <t>Gesso LisoPAV1</t>
  </si>
  <si>
    <t>Esquadria PAV1</t>
  </si>
  <si>
    <t>FiaçãoPAV1</t>
  </si>
  <si>
    <t>ForroPAV1</t>
  </si>
  <si>
    <t>Disjuntores e CDPAV1</t>
  </si>
  <si>
    <t>Pintura Interna - 1ªdmãoPAV1</t>
  </si>
  <si>
    <t>LouçasPAV1</t>
  </si>
  <si>
    <t>Esquadria de Ferro CirculaçãoPAV1</t>
  </si>
  <si>
    <t>Portas de MadeiraPAV1</t>
  </si>
  <si>
    <t>MetaisPAV1</t>
  </si>
  <si>
    <t>Acabamentos ElétricosPAV1</t>
  </si>
  <si>
    <t>Piso Laminado + RodapéPAV1</t>
  </si>
  <si>
    <t>Pintura FinalPAV1</t>
  </si>
  <si>
    <t>Complementação e LimpezaPAV1</t>
  </si>
  <si>
    <t>Alvenaria EstruturalPAV2</t>
  </si>
  <si>
    <t>Estrutura Moldado in LocoPAV2</t>
  </si>
  <si>
    <t>Instalações HidrossanitáriasPAV2</t>
  </si>
  <si>
    <t>Reboco InternoPAV2</t>
  </si>
  <si>
    <t>Shaft PAV2</t>
  </si>
  <si>
    <t>ImpermeabilizaçãoPAV2</t>
  </si>
  <si>
    <t>CerâmicaPAV2</t>
  </si>
  <si>
    <t>Gesso LisoPAV2</t>
  </si>
  <si>
    <t>Esquadria PAV2</t>
  </si>
  <si>
    <t>FiaçãoPAV2</t>
  </si>
  <si>
    <t>ForroPAV2</t>
  </si>
  <si>
    <t>Disjuntores e CDPAV2</t>
  </si>
  <si>
    <t>Pintura Interna - 1ªdmãoPAV2</t>
  </si>
  <si>
    <t>Esquadria de Ferro CirculaçãoPAV2</t>
  </si>
  <si>
    <t>LouçasPAV2</t>
  </si>
  <si>
    <t>Portas de MadeiraPAV2</t>
  </si>
  <si>
    <t>MetaisPAV2</t>
  </si>
  <si>
    <t>Acabamentos ElétricosPAV2</t>
  </si>
  <si>
    <t>Piso Laminado + RodapéPAV2</t>
  </si>
  <si>
    <t>Pintura FinalPAV2</t>
  </si>
  <si>
    <t>Complementação e LimpezaPAV2</t>
  </si>
  <si>
    <t>Alvenaria EstruturalPAV3</t>
  </si>
  <si>
    <t>Estrutura Moldado in LocoPAV3</t>
  </si>
  <si>
    <t>Instalações HidrossanitáriasPAV3</t>
  </si>
  <si>
    <t>Reboco InternoPAV3</t>
  </si>
  <si>
    <t>Shaft PAV3</t>
  </si>
  <si>
    <t>ImpermeabilizaçãoPAV3</t>
  </si>
  <si>
    <t>CerâmicaPAV3</t>
  </si>
  <si>
    <t>Gesso LisoPAV3</t>
  </si>
  <si>
    <t>Esquadria PAV3</t>
  </si>
  <si>
    <t>FiaçãoPAV3</t>
  </si>
  <si>
    <t>ForroPAV3</t>
  </si>
  <si>
    <t>Disjuntores e CDPAV3</t>
  </si>
  <si>
    <t>Pintura Interna - 1ªdmãoPAV3</t>
  </si>
  <si>
    <t>Esquadria de Ferro CirculaçãoPAV3</t>
  </si>
  <si>
    <t>LouçasPAV3</t>
  </si>
  <si>
    <t>Portas de MadeiraPAV3</t>
  </si>
  <si>
    <t>MetaisPAV3</t>
  </si>
  <si>
    <t>Acabamentos ElétricosPAV3</t>
  </si>
  <si>
    <t>Piso Laminado + RodapéPAV3</t>
  </si>
  <si>
    <t>Pintura FinalPAV3</t>
  </si>
  <si>
    <t>Complementação e LimpezaPAV3</t>
  </si>
  <si>
    <t>Alvenaria EstruturalPAV4</t>
  </si>
  <si>
    <t>Estrutura Moldado in LocoPAV4</t>
  </si>
  <si>
    <t>Instalações HidrossanitáriasPAV4</t>
  </si>
  <si>
    <t>Reboco InternoPAV4</t>
  </si>
  <si>
    <t>Shaft PAV4</t>
  </si>
  <si>
    <t>ImpermeabilizaçãoPAV4</t>
  </si>
  <si>
    <t>CerâmicaPAV4</t>
  </si>
  <si>
    <t>Gesso LisoPAV4</t>
  </si>
  <si>
    <t>Esquadria PAV4</t>
  </si>
  <si>
    <t>FiaçãoPAV4</t>
  </si>
  <si>
    <t>Disjuntores e CDPAV4</t>
  </si>
  <si>
    <t>ForroPAV4</t>
  </si>
  <si>
    <t>Esquadria de Ferro CirculaçãoPAV4</t>
  </si>
  <si>
    <t>Pintura Interna - 1ªdmãoPAV4</t>
  </si>
  <si>
    <t>LouçasPAV4</t>
  </si>
  <si>
    <t>Portas de MadeiraPAV4</t>
  </si>
  <si>
    <t>MetaisPAV4</t>
  </si>
  <si>
    <t>Acabamentos ElétricosPAV4</t>
  </si>
  <si>
    <t>Piso Laminado + RodapéPAV4</t>
  </si>
  <si>
    <t>Pintura FinalPAV4</t>
  </si>
  <si>
    <t>Complementação e LimpezaPAV4</t>
  </si>
  <si>
    <t>Alvenaria EstruturalCOB</t>
  </si>
  <si>
    <t>Instalações HidrossanitáriasCOB</t>
  </si>
  <si>
    <t>Impermeabilização do TelhadoCOB</t>
  </si>
  <si>
    <t>TelhadoCOB</t>
  </si>
  <si>
    <t>Reboco ExternoPANO1</t>
  </si>
  <si>
    <t>Pintura Externa PANO1</t>
  </si>
  <si>
    <t>Reboco ExternoPANO2</t>
  </si>
  <si>
    <t>Pintura Externa PANO2</t>
  </si>
  <si>
    <t>Reboco ExternoPANO3</t>
  </si>
  <si>
    <t>Pintura Externa PANO3</t>
  </si>
  <si>
    <t>Reboco ExternoPANO4</t>
  </si>
  <si>
    <t>Pintura Externa PANO4</t>
  </si>
  <si>
    <t>Reboco ExternoPANO5</t>
  </si>
  <si>
    <t>Pintura Externa PANO5</t>
  </si>
  <si>
    <t>Reboco ExternoPANO6</t>
  </si>
  <si>
    <t>Pintura Externa PANO6</t>
  </si>
  <si>
    <t>Rev. da CirculaçãoPAV1</t>
  </si>
  <si>
    <t>Rev. da CirculaçãoPAV2</t>
  </si>
  <si>
    <t>Rev. da CirculaçãoPAV3</t>
  </si>
  <si>
    <t>Rev. da CirculaçãoPAV4</t>
  </si>
  <si>
    <t>(Vários itens)</t>
  </si>
  <si>
    <t>Total</t>
  </si>
  <si>
    <t>MAIS 15</t>
  </si>
  <si>
    <t>MENOS 15</t>
  </si>
  <si>
    <t>DATA +15</t>
  </si>
  <si>
    <t>DATA -15</t>
  </si>
  <si>
    <t>10.Shaft  Total</t>
  </si>
  <si>
    <t>11.Impermeabilização do WC Total</t>
  </si>
  <si>
    <t>12.Cerâmica Total</t>
  </si>
  <si>
    <t>13.Gesso Liso Total</t>
  </si>
  <si>
    <t>14.Esquadria de Aluminio Total</t>
  </si>
  <si>
    <t>15.Fiação Total</t>
  </si>
  <si>
    <t>16.Forro Total</t>
  </si>
  <si>
    <t>17.Revestimento da Circulação Total</t>
  </si>
  <si>
    <t>18.Disjuntores e CD Total</t>
  </si>
  <si>
    <t>19.Pintura Interna - 1ªdmão Total</t>
  </si>
  <si>
    <t>20.Louças Total</t>
  </si>
  <si>
    <t>21.Portas de Madeira Total</t>
  </si>
  <si>
    <t>22.Esquadria de Ferro Total</t>
  </si>
  <si>
    <t>23.Piso Vinilico Total</t>
  </si>
  <si>
    <t>24.Metais Total</t>
  </si>
  <si>
    <t>26.Pintura Final Total</t>
  </si>
  <si>
    <t>27.Complementação e Limpeza Total</t>
  </si>
  <si>
    <t>32.Reboco Externo Total</t>
  </si>
  <si>
    <t>33.Pintura Externa Total</t>
  </si>
  <si>
    <t>Soma de Duração</t>
  </si>
  <si>
    <t>DURAÇÃO EXE</t>
  </si>
  <si>
    <t>EQUIPE EXE</t>
  </si>
  <si>
    <t>EQUIPE PLANEJADA</t>
  </si>
  <si>
    <t>Soma de DURAÇÃO EXE</t>
  </si>
  <si>
    <t>SEMANAS</t>
  </si>
  <si>
    <t>Contagem de Localização</t>
  </si>
  <si>
    <t>peso da tarefa</t>
  </si>
  <si>
    <t>copiar e colar do Agilean - Replanejamento</t>
  </si>
  <si>
    <t>indicador</t>
  </si>
  <si>
    <t>TASKTYPE 2</t>
  </si>
  <si>
    <t>código2</t>
  </si>
  <si>
    <t>executados</t>
  </si>
  <si>
    <t>planejados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</si>
</sst>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dd/mm/yy;@"/>
    <numFmt numFmtId="166" formatCode="_-* #,##0_-;\-* #,##0_-;_-* &quot;-&quot;??_-;_-@_-"/>
    <numFmt numFmtId="167" formatCode="0.0%"/>
    <numFmt numFmtId="168" formatCode="0.0"/>
    <numFmt numFmtId="169" formatCode="d/m;@"/>
    <numFmt numFmtId="170" formatCode="_-* #,##0.0000_-;\-* #,##0.0000_-;_-* &quot;-&quot;??_-;_-@_-"/>
    <numFmt numFmtId="171" formatCode="_-* #,##0.0000_-;\-* #,##0.0000_-;_-* &quot;-&quot;????_-;_-@_-"/>
    <numFmt numFmtId="172" formatCode="[$-416]mmm\-yy;@"/>
    <numFmt numFmtId="173" formatCode="0.000%"/>
    <numFmt numFmtId="174" formatCode="0\ &quot;dias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5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7"/>
      <color rgb="FF000000"/>
      <name val="Calibri"/>
      <family val="2"/>
    </font>
    <font>
      <sz val="7"/>
      <color theme="1"/>
      <name val="Calibri"/>
      <family val="2"/>
      <scheme val="minor"/>
    </font>
    <font>
      <sz val="14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9" fontId="0" fillId="4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44" fontId="0" fillId="6" borderId="0" xfId="2" applyFont="1" applyFill="1"/>
    <xf numFmtId="44" fontId="0" fillId="0" borderId="0" xfId="2" applyFont="1"/>
    <xf numFmtId="0" fontId="0" fillId="0" borderId="0" xfId="0" applyNumberFormat="1"/>
    <xf numFmtId="14" fontId="0" fillId="0" borderId="0" xfId="0" applyNumberFormat="1" applyAlignment="1">
      <alignment horizontal="center"/>
    </xf>
    <xf numFmtId="164" fontId="0" fillId="4" borderId="0" xfId="0" applyNumberFormat="1" applyFill="1"/>
    <xf numFmtId="44" fontId="0" fillId="4" borderId="0" xfId="2" applyFont="1" applyFill="1"/>
    <xf numFmtId="14" fontId="0" fillId="6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/>
    <xf numFmtId="8" fontId="0" fillId="8" borderId="0" xfId="0" applyNumberFormat="1" applyFill="1"/>
    <xf numFmtId="0" fontId="2" fillId="8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44" fontId="2" fillId="5" borderId="2" xfId="2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pivotButton="1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10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7" fontId="0" fillId="0" borderId="4" xfId="3" applyNumberFormat="1" applyFon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66" fontId="0" fillId="0" borderId="6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4" xfId="3" applyFont="1" applyBorder="1" applyAlignment="1">
      <alignment horizontal="center"/>
    </xf>
    <xf numFmtId="10" fontId="0" fillId="0" borderId="4" xfId="3" applyNumberFormat="1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9" fontId="0" fillId="0" borderId="8" xfId="3" applyFont="1" applyBorder="1" applyAlignment="1">
      <alignment horizontal="center"/>
    </xf>
    <xf numFmtId="167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0" fontId="2" fillId="3" borderId="13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10" fontId="0" fillId="8" borderId="5" xfId="3" applyNumberFormat="1" applyFont="1" applyFill="1" applyBorder="1" applyAlignment="1">
      <alignment horizontal="center"/>
    </xf>
    <xf numFmtId="167" fontId="0" fillId="8" borderId="4" xfId="3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68" fontId="0" fillId="4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14" fontId="0" fillId="0" borderId="18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9" fontId="0" fillId="0" borderId="0" xfId="3" applyFont="1" applyAlignment="1">
      <alignment horizontal="center"/>
    </xf>
    <xf numFmtId="9" fontId="0" fillId="0" borderId="2" xfId="3" applyFont="1" applyBorder="1" applyAlignment="1">
      <alignment horizontal="center"/>
    </xf>
    <xf numFmtId="9" fontId="0" fillId="8" borderId="4" xfId="3" applyFont="1" applyFill="1" applyBorder="1" applyAlignment="1">
      <alignment horizontal="center"/>
    </xf>
    <xf numFmtId="0" fontId="0" fillId="0" borderId="2" xfId="0" applyBorder="1"/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3" applyFont="1"/>
    <xf numFmtId="0" fontId="0" fillId="12" borderId="0" xfId="0" applyFill="1"/>
    <xf numFmtId="0" fontId="0" fillId="13" borderId="0" xfId="0" applyFill="1"/>
    <xf numFmtId="1" fontId="7" fillId="13" borderId="0" xfId="1" applyNumberFormat="1" applyFont="1" applyFill="1" applyAlignment="1">
      <alignment vertical="center"/>
    </xf>
    <xf numFmtId="0" fontId="8" fillId="12" borderId="0" xfId="0" applyFont="1" applyFill="1"/>
    <xf numFmtId="9" fontId="7" fillId="13" borderId="0" xfId="0" applyNumberFormat="1" applyFont="1" applyFill="1" applyAlignment="1">
      <alignment vertical="center"/>
    </xf>
    <xf numFmtId="0" fontId="7" fillId="13" borderId="0" xfId="0" applyFont="1" applyFill="1" applyAlignment="1">
      <alignment vertical="center"/>
    </xf>
    <xf numFmtId="0" fontId="0" fillId="0" borderId="0" xfId="0" applyAlignment="1">
      <alignment textRotation="90"/>
    </xf>
    <xf numFmtId="0" fontId="9" fillId="0" borderId="0" xfId="0" applyFont="1" applyAlignment="1">
      <alignment vertical="center"/>
    </xf>
    <xf numFmtId="0" fontId="2" fillId="15" borderId="0" xfId="0" applyFont="1" applyFill="1" applyAlignment="1">
      <alignment horizontal="center"/>
    </xf>
    <xf numFmtId="14" fontId="2" fillId="15" borderId="0" xfId="0" applyNumberFormat="1" applyFont="1" applyFill="1" applyAlignment="1">
      <alignment horizontal="center" vertical="center"/>
    </xf>
    <xf numFmtId="169" fontId="11" fillId="0" borderId="23" xfId="0" applyNumberFormat="1" applyFont="1" applyBorder="1" applyAlignment="1">
      <alignment horizontal="center" vertical="center"/>
    </xf>
    <xf numFmtId="169" fontId="11" fillId="0" borderId="24" xfId="0" applyNumberFormat="1" applyFont="1" applyBorder="1" applyAlignment="1">
      <alignment horizontal="center" vertical="center"/>
    </xf>
    <xf numFmtId="169" fontId="11" fillId="0" borderId="25" xfId="0" applyNumberFormat="1" applyFont="1" applyBorder="1" applyAlignment="1">
      <alignment horizontal="center" vertical="center"/>
    </xf>
    <xf numFmtId="169" fontId="11" fillId="0" borderId="26" xfId="0" applyNumberFormat="1" applyFont="1" applyBorder="1" applyAlignment="1">
      <alignment horizontal="center" vertical="center"/>
    </xf>
    <xf numFmtId="169" fontId="11" fillId="16" borderId="24" xfId="0" applyNumberFormat="1" applyFont="1" applyFill="1" applyBorder="1" applyAlignment="1">
      <alignment horizontal="center" vertical="center" textRotation="90"/>
    </xf>
    <xf numFmtId="169" fontId="11" fillId="16" borderId="26" xfId="0" applyNumberFormat="1" applyFont="1" applyFill="1" applyBorder="1" applyAlignment="1">
      <alignment horizontal="center" vertical="center" textRotation="90"/>
    </xf>
    <xf numFmtId="169" fontId="11" fillId="0" borderId="24" xfId="0" applyNumberFormat="1" applyFont="1" applyBorder="1" applyAlignment="1">
      <alignment horizontal="center" vertical="center" textRotation="90"/>
    </xf>
    <xf numFmtId="169" fontId="11" fillId="0" borderId="27" xfId="0" applyNumberFormat="1" applyFont="1" applyBorder="1" applyAlignment="1">
      <alignment horizontal="center" vertical="center" textRotation="90"/>
    </xf>
    <xf numFmtId="0" fontId="0" fillId="17" borderId="0" xfId="0" applyFill="1" applyAlignment="1">
      <alignment vertical="center"/>
    </xf>
    <xf numFmtId="169" fontId="11" fillId="0" borderId="30" xfId="0" applyNumberFormat="1" applyFont="1" applyBorder="1" applyAlignment="1">
      <alignment horizontal="center" vertical="center"/>
    </xf>
    <xf numFmtId="169" fontId="11" fillId="0" borderId="31" xfId="0" applyNumberFormat="1" applyFont="1" applyBorder="1" applyAlignment="1">
      <alignment horizontal="center" vertical="center"/>
    </xf>
    <xf numFmtId="169" fontId="11" fillId="0" borderId="32" xfId="0" applyNumberFormat="1" applyFont="1" applyBorder="1" applyAlignment="1">
      <alignment horizontal="center" vertical="center"/>
    </xf>
    <xf numFmtId="169" fontId="11" fillId="0" borderId="33" xfId="0" applyNumberFormat="1" applyFont="1" applyBorder="1" applyAlignment="1">
      <alignment horizontal="center" vertical="center"/>
    </xf>
    <xf numFmtId="169" fontId="11" fillId="16" borderId="31" xfId="0" applyNumberFormat="1" applyFont="1" applyFill="1" applyBorder="1" applyAlignment="1">
      <alignment horizontal="center" vertical="center" textRotation="90"/>
    </xf>
    <xf numFmtId="169" fontId="11" fillId="16" borderId="33" xfId="0" applyNumberFormat="1" applyFont="1" applyFill="1" applyBorder="1" applyAlignment="1">
      <alignment horizontal="center" vertical="center" textRotation="90"/>
    </xf>
    <xf numFmtId="169" fontId="11" fillId="0" borderId="31" xfId="0" applyNumberFormat="1" applyFont="1" applyBorder="1" applyAlignment="1">
      <alignment horizontal="center" vertical="center" textRotation="90"/>
    </xf>
    <xf numFmtId="169" fontId="11" fillId="0" borderId="34" xfId="0" applyNumberFormat="1" applyFont="1" applyBorder="1" applyAlignment="1">
      <alignment horizontal="center" vertical="center" textRotation="90"/>
    </xf>
    <xf numFmtId="0" fontId="0" fillId="18" borderId="0" xfId="0" applyFill="1" applyAlignment="1">
      <alignment vertical="center"/>
    </xf>
    <xf numFmtId="169" fontId="11" fillId="0" borderId="35" xfId="0" applyNumberFormat="1" applyFont="1" applyBorder="1" applyAlignment="1">
      <alignment horizontal="center" vertical="center"/>
    </xf>
    <xf numFmtId="169" fontId="11" fillId="0" borderId="36" xfId="0" applyNumberFormat="1" applyFont="1" applyBorder="1" applyAlignment="1">
      <alignment horizontal="center" vertical="center"/>
    </xf>
    <xf numFmtId="169" fontId="11" fillId="0" borderId="37" xfId="0" applyNumberFormat="1" applyFont="1" applyBorder="1" applyAlignment="1">
      <alignment horizontal="center" vertical="center"/>
    </xf>
    <xf numFmtId="169" fontId="11" fillId="0" borderId="38" xfId="0" applyNumberFormat="1" applyFont="1" applyBorder="1" applyAlignment="1">
      <alignment horizontal="center" vertical="center"/>
    </xf>
    <xf numFmtId="169" fontId="11" fillId="16" borderId="36" xfId="0" applyNumberFormat="1" applyFont="1" applyFill="1" applyBorder="1" applyAlignment="1">
      <alignment horizontal="center" vertical="center" textRotation="90"/>
    </xf>
    <xf numFmtId="169" fontId="11" fillId="16" borderId="38" xfId="0" applyNumberFormat="1" applyFont="1" applyFill="1" applyBorder="1" applyAlignment="1">
      <alignment horizontal="center" vertical="center" textRotation="90"/>
    </xf>
    <xf numFmtId="169" fontId="11" fillId="0" borderId="36" xfId="0" applyNumberFormat="1" applyFont="1" applyBorder="1" applyAlignment="1">
      <alignment horizontal="center" vertical="center" textRotation="90"/>
    </xf>
    <xf numFmtId="169" fontId="11" fillId="0" borderId="39" xfId="0" applyNumberFormat="1" applyFont="1" applyBorder="1" applyAlignment="1">
      <alignment horizontal="center" vertical="center" textRotation="90"/>
    </xf>
    <xf numFmtId="0" fontId="0" fillId="19" borderId="0" xfId="0" applyFill="1" applyAlignment="1">
      <alignment vertical="center"/>
    </xf>
    <xf numFmtId="169" fontId="11" fillId="0" borderId="40" xfId="0" applyNumberFormat="1" applyFont="1" applyBorder="1" applyAlignment="1">
      <alignment horizontal="center" vertical="center"/>
    </xf>
    <xf numFmtId="169" fontId="11" fillId="0" borderId="41" xfId="0" applyNumberFormat="1" applyFont="1" applyBorder="1" applyAlignment="1">
      <alignment horizontal="center" vertical="center"/>
    </xf>
    <xf numFmtId="169" fontId="11" fillId="0" borderId="42" xfId="0" applyNumberFormat="1" applyFont="1" applyBorder="1" applyAlignment="1">
      <alignment horizontal="center" vertical="center"/>
    </xf>
    <xf numFmtId="169" fontId="11" fillId="0" borderId="43" xfId="0" applyNumberFormat="1" applyFont="1" applyBorder="1" applyAlignment="1">
      <alignment horizontal="center" vertical="center"/>
    </xf>
    <xf numFmtId="169" fontId="11" fillId="16" borderId="41" xfId="0" applyNumberFormat="1" applyFont="1" applyFill="1" applyBorder="1" applyAlignment="1">
      <alignment horizontal="center" vertical="center" textRotation="90"/>
    </xf>
    <xf numFmtId="169" fontId="11" fillId="16" borderId="43" xfId="0" applyNumberFormat="1" applyFont="1" applyFill="1" applyBorder="1" applyAlignment="1">
      <alignment horizontal="center" vertical="center" textRotation="90"/>
    </xf>
    <xf numFmtId="169" fontId="11" fillId="0" borderId="41" xfId="0" applyNumberFormat="1" applyFont="1" applyBorder="1" applyAlignment="1">
      <alignment horizontal="center" vertical="center" textRotation="90"/>
    </xf>
    <xf numFmtId="169" fontId="11" fillId="0" borderId="44" xfId="0" applyNumberFormat="1" applyFont="1" applyBorder="1" applyAlignment="1">
      <alignment horizontal="center" vertical="center" textRotation="90"/>
    </xf>
    <xf numFmtId="0" fontId="0" fillId="20" borderId="0" xfId="0" applyFill="1" applyAlignment="1">
      <alignment vertical="center"/>
    </xf>
    <xf numFmtId="169" fontId="11" fillId="0" borderId="46" xfId="0" applyNumberFormat="1" applyFont="1" applyBorder="1" applyAlignment="1">
      <alignment horizontal="center" vertical="center"/>
    </xf>
    <xf numFmtId="169" fontId="11" fillId="0" borderId="47" xfId="0" applyNumberFormat="1" applyFont="1" applyBorder="1" applyAlignment="1">
      <alignment horizontal="center" vertical="center"/>
    </xf>
    <xf numFmtId="169" fontId="11" fillId="0" borderId="48" xfId="0" applyNumberFormat="1" applyFont="1" applyBorder="1" applyAlignment="1">
      <alignment horizontal="center" vertical="center"/>
    </xf>
    <xf numFmtId="169" fontId="11" fillId="0" borderId="49" xfId="0" applyNumberFormat="1" applyFont="1" applyBorder="1" applyAlignment="1">
      <alignment horizontal="center" vertical="center"/>
    </xf>
    <xf numFmtId="169" fontId="11" fillId="16" borderId="47" xfId="0" applyNumberFormat="1" applyFont="1" applyFill="1" applyBorder="1" applyAlignment="1">
      <alignment horizontal="center" vertical="center" textRotation="90"/>
    </xf>
    <xf numFmtId="169" fontId="11" fillId="16" borderId="49" xfId="0" applyNumberFormat="1" applyFont="1" applyFill="1" applyBorder="1" applyAlignment="1">
      <alignment horizontal="center" vertical="center" textRotation="90"/>
    </xf>
    <xf numFmtId="169" fontId="11" fillId="0" borderId="47" xfId="0" applyNumberFormat="1" applyFont="1" applyBorder="1" applyAlignment="1">
      <alignment horizontal="center" vertical="center" textRotation="90"/>
    </xf>
    <xf numFmtId="169" fontId="11" fillId="0" borderId="50" xfId="0" applyNumberFormat="1" applyFont="1" applyBorder="1" applyAlignment="1">
      <alignment horizontal="center" vertical="center" textRotation="90"/>
    </xf>
    <xf numFmtId="169" fontId="11" fillId="0" borderId="25" xfId="0" applyNumberFormat="1" applyFont="1" applyBorder="1" applyAlignment="1">
      <alignment horizontal="center" vertical="center" textRotation="90"/>
    </xf>
    <xf numFmtId="169" fontId="11" fillId="0" borderId="26" xfId="0" applyNumberFormat="1" applyFont="1" applyBorder="1" applyAlignment="1">
      <alignment horizontal="center" vertical="center" textRotation="90"/>
    </xf>
    <xf numFmtId="169" fontId="11" fillId="18" borderId="24" xfId="0" applyNumberFormat="1" applyFont="1" applyFill="1" applyBorder="1" applyAlignment="1">
      <alignment horizontal="center" vertical="center" textRotation="90"/>
    </xf>
    <xf numFmtId="169" fontId="11" fillId="18" borderId="25" xfId="0" applyNumberFormat="1" applyFont="1" applyFill="1" applyBorder="1" applyAlignment="1">
      <alignment horizontal="center" vertical="center" textRotation="90"/>
    </xf>
    <xf numFmtId="169" fontId="11" fillId="18" borderId="26" xfId="0" applyNumberFormat="1" applyFont="1" applyFill="1" applyBorder="1" applyAlignment="1">
      <alignment horizontal="center" vertical="center" textRotation="90"/>
    </xf>
    <xf numFmtId="169" fontId="11" fillId="0" borderId="42" xfId="0" applyNumberFormat="1" applyFont="1" applyBorder="1" applyAlignment="1">
      <alignment horizontal="center" vertical="center" textRotation="90"/>
    </xf>
    <xf numFmtId="169" fontId="11" fillId="0" borderId="43" xfId="0" applyNumberFormat="1" applyFont="1" applyBorder="1" applyAlignment="1">
      <alignment horizontal="center" vertical="center" textRotation="90"/>
    </xf>
    <xf numFmtId="169" fontId="11" fillId="18" borderId="41" xfId="0" applyNumberFormat="1" applyFont="1" applyFill="1" applyBorder="1" applyAlignment="1">
      <alignment horizontal="center" vertical="center" textRotation="90"/>
    </xf>
    <xf numFmtId="169" fontId="11" fillId="18" borderId="42" xfId="0" applyNumberFormat="1" applyFont="1" applyFill="1" applyBorder="1" applyAlignment="1">
      <alignment horizontal="center" vertical="center" textRotation="90"/>
    </xf>
    <xf numFmtId="169" fontId="11" fillId="18" borderId="43" xfId="0" applyNumberFormat="1" applyFont="1" applyFill="1" applyBorder="1" applyAlignment="1">
      <alignment horizontal="center" vertical="center" textRotation="90"/>
    </xf>
    <xf numFmtId="169" fontId="11" fillId="0" borderId="37" xfId="0" applyNumberFormat="1" applyFont="1" applyBorder="1" applyAlignment="1">
      <alignment horizontal="center" vertical="center" textRotation="90"/>
    </xf>
    <xf numFmtId="169" fontId="11" fillId="0" borderId="38" xfId="0" applyNumberFormat="1" applyFont="1" applyBorder="1" applyAlignment="1">
      <alignment horizontal="center" vertical="center" textRotation="90"/>
    </xf>
    <xf numFmtId="169" fontId="11" fillId="18" borderId="36" xfId="0" applyNumberFormat="1" applyFont="1" applyFill="1" applyBorder="1" applyAlignment="1">
      <alignment horizontal="center" vertical="center" textRotation="90"/>
    </xf>
    <xf numFmtId="169" fontId="11" fillId="18" borderId="37" xfId="0" applyNumberFormat="1" applyFont="1" applyFill="1" applyBorder="1" applyAlignment="1">
      <alignment horizontal="center" vertical="center" textRotation="90"/>
    </xf>
    <xf numFmtId="169" fontId="11" fillId="18" borderId="38" xfId="0" applyNumberFormat="1" applyFont="1" applyFill="1" applyBorder="1" applyAlignment="1">
      <alignment horizontal="center" vertical="center" textRotation="90"/>
    </xf>
    <xf numFmtId="169" fontId="11" fillId="20" borderId="36" xfId="0" applyNumberFormat="1" applyFont="1" applyFill="1" applyBorder="1" applyAlignment="1">
      <alignment horizontal="center" vertical="center" textRotation="90"/>
    </xf>
    <xf numFmtId="169" fontId="11" fillId="20" borderId="38" xfId="0" applyNumberFormat="1" applyFont="1" applyFill="1" applyBorder="1" applyAlignment="1">
      <alignment horizontal="center" vertical="center" textRotation="90"/>
    </xf>
    <xf numFmtId="169" fontId="11" fillId="20" borderId="41" xfId="0" applyNumberFormat="1" applyFont="1" applyFill="1" applyBorder="1" applyAlignment="1">
      <alignment horizontal="center" vertical="center" textRotation="90"/>
    </xf>
    <xf numFmtId="9" fontId="11" fillId="20" borderId="43" xfId="3" applyFont="1" applyFill="1" applyBorder="1" applyAlignment="1">
      <alignment horizontal="center" vertical="center" textRotation="90"/>
    </xf>
    <xf numFmtId="169" fontId="11" fillId="16" borderId="37" xfId="0" applyNumberFormat="1" applyFont="1" applyFill="1" applyBorder="1" applyAlignment="1">
      <alignment horizontal="center" vertical="center" textRotation="90"/>
    </xf>
    <xf numFmtId="169" fontId="11" fillId="16" borderId="42" xfId="0" applyNumberFormat="1" applyFont="1" applyFill="1" applyBorder="1" applyAlignment="1">
      <alignment horizontal="center" vertical="center" textRotation="90"/>
    </xf>
    <xf numFmtId="169" fontId="11" fillId="19" borderId="36" xfId="0" applyNumberFormat="1" applyFont="1" applyFill="1" applyBorder="1" applyAlignment="1">
      <alignment horizontal="center" vertical="center" textRotation="90"/>
    </xf>
    <xf numFmtId="169" fontId="11" fillId="19" borderId="37" xfId="0" applyNumberFormat="1" applyFont="1" applyFill="1" applyBorder="1" applyAlignment="1">
      <alignment horizontal="center" vertical="center" textRotation="90"/>
    </xf>
    <xf numFmtId="169" fontId="11" fillId="19" borderId="41" xfId="0" applyNumberFormat="1" applyFont="1" applyFill="1" applyBorder="1" applyAlignment="1">
      <alignment horizontal="center" vertical="center" textRotation="90"/>
    </xf>
    <xf numFmtId="9" fontId="11" fillId="19" borderId="42" xfId="3" applyFont="1" applyFill="1" applyBorder="1" applyAlignment="1">
      <alignment horizontal="center" vertical="center" textRotation="90"/>
    </xf>
    <xf numFmtId="169" fontId="11" fillId="18" borderId="47" xfId="0" applyNumberFormat="1" applyFont="1" applyFill="1" applyBorder="1" applyAlignment="1">
      <alignment horizontal="center" vertical="center" textRotation="90"/>
    </xf>
    <xf numFmtId="169" fontId="11" fillId="18" borderId="48" xfId="0" applyNumberFormat="1" applyFont="1" applyFill="1" applyBorder="1" applyAlignment="1">
      <alignment horizontal="center" vertical="center" textRotation="90"/>
    </xf>
    <xf numFmtId="169" fontId="11" fillId="18" borderId="49" xfId="0" applyNumberFormat="1" applyFont="1" applyFill="1" applyBorder="1" applyAlignment="1">
      <alignment horizontal="center" vertical="center" textRotation="90"/>
    </xf>
    <xf numFmtId="169" fontId="11" fillId="0" borderId="48" xfId="0" applyNumberFormat="1" applyFont="1" applyBorder="1" applyAlignment="1">
      <alignment horizontal="center" vertical="center" textRotation="90"/>
    </xf>
    <xf numFmtId="169" fontId="11" fillId="0" borderId="49" xfId="0" applyNumberFormat="1" applyFont="1" applyBorder="1" applyAlignment="1">
      <alignment horizontal="center" vertical="center" textRotation="90"/>
    </xf>
    <xf numFmtId="0" fontId="12" fillId="0" borderId="0" xfId="0" applyFont="1" applyAlignment="1">
      <alignment textRotation="90"/>
    </xf>
    <xf numFmtId="0" fontId="11" fillId="0" borderId="0" xfId="0" applyFont="1" applyAlignment="1">
      <alignment vertical="center" textRotation="90"/>
    </xf>
    <xf numFmtId="0" fontId="11" fillId="13" borderId="55" xfId="0" applyFont="1" applyFill="1" applyBorder="1" applyAlignment="1">
      <alignment horizontal="center" vertical="center" textRotation="90"/>
    </xf>
    <xf numFmtId="0" fontId="11" fillId="13" borderId="56" xfId="0" applyFont="1" applyFill="1" applyBorder="1" applyAlignment="1">
      <alignment horizontal="center" vertical="center" textRotation="90"/>
    </xf>
    <xf numFmtId="0" fontId="11" fillId="13" borderId="57" xfId="0" applyFont="1" applyFill="1" applyBorder="1" applyAlignment="1">
      <alignment horizontal="center" vertical="center" textRotation="90"/>
    </xf>
    <xf numFmtId="0" fontId="11" fillId="13" borderId="58" xfId="0" applyFont="1" applyFill="1" applyBorder="1" applyAlignment="1">
      <alignment horizontal="center" vertical="center" textRotation="90"/>
    </xf>
    <xf numFmtId="0" fontId="11" fillId="13" borderId="59" xfId="0" applyFont="1" applyFill="1" applyBorder="1" applyAlignment="1">
      <alignment horizontal="center" vertical="center" textRotation="90"/>
    </xf>
    <xf numFmtId="0" fontId="12" fillId="0" borderId="0" xfId="0" applyFont="1" applyAlignment="1">
      <alignment vertical="center" textRotation="90"/>
    </xf>
    <xf numFmtId="0" fontId="0" fillId="0" borderId="0" xfId="0" applyFill="1"/>
    <xf numFmtId="0" fontId="5" fillId="12" borderId="0" xfId="0" applyFont="1" applyFill="1" applyAlignment="1">
      <alignment horizontal="center"/>
    </xf>
    <xf numFmtId="43" fontId="0" fillId="0" borderId="11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8" borderId="7" xfId="1" applyFont="1" applyFill="1" applyBorder="1" applyAlignment="1">
      <alignment horizontal="center"/>
    </xf>
    <xf numFmtId="43" fontId="0" fillId="8" borderId="6" xfId="1" applyFont="1" applyFill="1" applyBorder="1" applyAlignment="1">
      <alignment horizontal="center"/>
    </xf>
    <xf numFmtId="43" fontId="0" fillId="8" borderId="5" xfId="1" applyFont="1" applyFill="1" applyBorder="1" applyAlignment="1">
      <alignment horizontal="center"/>
    </xf>
    <xf numFmtId="167" fontId="0" fillId="0" borderId="9" xfId="3" applyNumberFormat="1" applyFont="1" applyBorder="1" applyAlignment="1">
      <alignment horizontal="center"/>
    </xf>
    <xf numFmtId="167" fontId="0" fillId="0" borderId="5" xfId="3" applyNumberFormat="1" applyFont="1" applyBorder="1" applyAlignment="1">
      <alignment horizontal="center"/>
    </xf>
    <xf numFmtId="167" fontId="0" fillId="8" borderId="5" xfId="3" applyNumberFormat="1" applyFont="1" applyFill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8" borderId="4" xfId="3" applyNumberFormat="1" applyFont="1" applyFill="1" applyBorder="1" applyAlignment="1">
      <alignment horizontal="center"/>
    </xf>
    <xf numFmtId="44" fontId="0" fillId="0" borderId="0" xfId="2" applyFont="1" applyAlignment="1">
      <alignment horizontal="center"/>
    </xf>
    <xf numFmtId="43" fontId="0" fillId="0" borderId="0" xfId="1" applyFont="1" applyAlignment="1">
      <alignment horizontal="center"/>
    </xf>
    <xf numFmtId="170" fontId="0" fillId="0" borderId="0" xfId="1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43" fontId="0" fillId="0" borderId="0" xfId="0" applyNumberFormat="1" applyAlignment="1">
      <alignment horizontal="left"/>
    </xf>
    <xf numFmtId="44" fontId="0" fillId="0" borderId="0" xfId="0" applyNumberFormat="1"/>
    <xf numFmtId="9" fontId="0" fillId="6" borderId="0" xfId="3" applyFont="1" applyFill="1" applyAlignment="1">
      <alignment horizontal="center"/>
    </xf>
    <xf numFmtId="43" fontId="3" fillId="3" borderId="2" xfId="1" applyFont="1" applyFill="1" applyBorder="1" applyAlignment="1">
      <alignment horizontal="center"/>
    </xf>
    <xf numFmtId="43" fontId="0" fillId="4" borderId="0" xfId="1" applyFont="1" applyFill="1" applyAlignment="1">
      <alignment horizontal="center"/>
    </xf>
    <xf numFmtId="9" fontId="2" fillId="5" borderId="2" xfId="3" applyFont="1" applyFill="1" applyBorder="1" applyAlignment="1">
      <alignment horizontal="center"/>
    </xf>
    <xf numFmtId="166" fontId="0" fillId="8" borderId="6" xfId="1" applyNumberFormat="1" applyFont="1" applyFill="1" applyBorder="1"/>
    <xf numFmtId="166" fontId="0" fillId="8" borderId="5" xfId="1" applyNumberFormat="1" applyFont="1" applyFill="1" applyBorder="1"/>
    <xf numFmtId="166" fontId="0" fillId="0" borderId="5" xfId="1" applyNumberFormat="1" applyFont="1" applyBorder="1"/>
    <xf numFmtId="43" fontId="0" fillId="0" borderId="2" xfId="1" applyFon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pivotButton="1" applyAlignment="1">
      <alignment horizontal="center"/>
    </xf>
    <xf numFmtId="172" fontId="0" fillId="2" borderId="0" xfId="0" applyNumberFormat="1" applyFill="1"/>
    <xf numFmtId="172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/>
    </xf>
    <xf numFmtId="14" fontId="0" fillId="0" borderId="0" xfId="0" applyNumberFormat="1"/>
    <xf numFmtId="173" fontId="3" fillId="3" borderId="2" xfId="3" applyNumberFormat="1" applyFont="1" applyFill="1" applyBorder="1" applyAlignment="1">
      <alignment horizontal="center"/>
    </xf>
    <xf numFmtId="173" fontId="0" fillId="4" borderId="0" xfId="3" applyNumberFormat="1" applyFont="1" applyFill="1" applyAlignment="1">
      <alignment horizontal="center"/>
    </xf>
    <xf numFmtId="173" fontId="0" fillId="0" borderId="0" xfId="3" applyNumberFormat="1" applyFont="1" applyAlignment="1">
      <alignment horizontal="center"/>
    </xf>
    <xf numFmtId="172" fontId="2" fillId="7" borderId="2" xfId="0" applyNumberFormat="1" applyFont="1" applyFill="1" applyBorder="1" applyAlignment="1">
      <alignment horizontal="center"/>
    </xf>
    <xf numFmtId="172" fontId="0" fillId="0" borderId="0" xfId="0" applyNumberFormat="1" applyAlignment="1">
      <alignment horizontal="center"/>
    </xf>
    <xf numFmtId="44" fontId="0" fillId="2" borderId="0" xfId="2" applyFont="1" applyFill="1" applyAlignment="1">
      <alignment horizontal="center"/>
    </xf>
    <xf numFmtId="43" fontId="2" fillId="7" borderId="2" xfId="1" applyFont="1" applyFill="1" applyBorder="1" applyAlignment="1">
      <alignment horizontal="center"/>
    </xf>
    <xf numFmtId="43" fontId="0" fillId="2" borderId="0" xfId="1" applyFont="1" applyFill="1" applyAlignment="1">
      <alignment horizontal="center"/>
    </xf>
    <xf numFmtId="0" fontId="2" fillId="20" borderId="2" xfId="0" applyFont="1" applyFill="1" applyBorder="1" applyAlignment="1">
      <alignment horizontal="center"/>
    </xf>
    <xf numFmtId="14" fontId="0" fillId="20" borderId="2" xfId="0" applyNumberFormat="1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43" fontId="2" fillId="9" borderId="2" xfId="1" applyFont="1" applyFill="1" applyBorder="1" applyAlignment="1">
      <alignment horizontal="center"/>
    </xf>
    <xf numFmtId="43" fontId="0" fillId="9" borderId="0" xfId="1" applyFont="1" applyFill="1" applyAlignment="1">
      <alignment horizontal="center"/>
    </xf>
    <xf numFmtId="173" fontId="0" fillId="0" borderId="0" xfId="3" applyNumberFormat="1" applyFont="1"/>
    <xf numFmtId="1" fontId="0" fillId="0" borderId="11" xfId="1" applyNumberFormat="1" applyFont="1" applyBorder="1" applyAlignment="1">
      <alignment horizontal="center"/>
    </xf>
    <xf numFmtId="1" fontId="0" fillId="0" borderId="7" xfId="1" applyNumberFormat="1" applyFont="1" applyBorder="1" applyAlignment="1">
      <alignment horizontal="center"/>
    </xf>
    <xf numFmtId="1" fontId="0" fillId="8" borderId="7" xfId="1" applyNumberFormat="1" applyFont="1" applyFill="1" applyBorder="1" applyAlignment="1">
      <alignment horizontal="center"/>
    </xf>
    <xf numFmtId="43" fontId="0" fillId="0" borderId="0" xfId="0" applyNumberFormat="1"/>
    <xf numFmtId="9" fontId="7" fillId="14" borderId="0" xfId="3" applyFont="1" applyFill="1" applyAlignment="1">
      <alignment horizontal="center" vertical="center"/>
    </xf>
    <xf numFmtId="9" fontId="7" fillId="14" borderId="0" xfId="0" applyNumberFormat="1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174" fontId="7" fillId="14" borderId="0" xfId="1" applyNumberFormat="1" applyFont="1" applyFill="1" applyAlignment="1">
      <alignment horizontal="center" vertical="center"/>
    </xf>
    <xf numFmtId="0" fontId="13" fillId="13" borderId="54" xfId="0" applyFont="1" applyFill="1" applyBorder="1" applyAlignment="1">
      <alignment horizontal="center" textRotation="90"/>
    </xf>
    <xf numFmtId="0" fontId="13" fillId="13" borderId="62" xfId="0" applyFont="1" applyFill="1" applyBorder="1" applyAlignment="1">
      <alignment horizontal="center" textRotation="90"/>
    </xf>
    <xf numFmtId="0" fontId="13" fillId="13" borderId="63" xfId="0" applyFont="1" applyFill="1" applyBorder="1" applyAlignment="1">
      <alignment horizontal="center" textRotation="90"/>
    </xf>
    <xf numFmtId="0" fontId="13" fillId="13" borderId="61" xfId="0" applyFont="1" applyFill="1" applyBorder="1" applyAlignment="1">
      <alignment horizontal="center" textRotation="90"/>
    </xf>
    <xf numFmtId="0" fontId="13" fillId="13" borderId="60" xfId="0" applyFont="1" applyFill="1" applyBorder="1" applyAlignment="1">
      <alignment horizontal="center" textRotation="90"/>
    </xf>
    <xf numFmtId="0" fontId="6" fillId="13" borderId="21" xfId="0" applyFont="1" applyFill="1" applyBorder="1" applyAlignment="1">
      <alignment horizontal="center" vertical="center" textRotation="90"/>
    </xf>
    <xf numFmtId="0" fontId="6" fillId="13" borderId="28" xfId="0" applyFont="1" applyFill="1" applyBorder="1" applyAlignment="1">
      <alignment horizontal="center" vertical="center" textRotation="90"/>
    </xf>
    <xf numFmtId="0" fontId="6" fillId="13" borderId="45" xfId="0" applyFont="1" applyFill="1" applyBorder="1" applyAlignment="1">
      <alignment horizontal="center" vertical="center" textRotation="90"/>
    </xf>
    <xf numFmtId="0" fontId="10" fillId="13" borderId="51" xfId="0" applyFont="1" applyFill="1" applyBorder="1" applyAlignment="1">
      <alignment horizontal="center" vertical="center"/>
    </xf>
    <xf numFmtId="0" fontId="10" fillId="13" borderId="52" xfId="0" applyFont="1" applyFill="1" applyBorder="1" applyAlignment="1">
      <alignment horizontal="center" vertical="center"/>
    </xf>
    <xf numFmtId="0" fontId="10" fillId="13" borderId="53" xfId="0" applyFont="1" applyFill="1" applyBorder="1" applyAlignment="1">
      <alignment horizontal="center" vertical="center"/>
    </xf>
    <xf numFmtId="0" fontId="10" fillId="13" borderId="54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90"/>
    </xf>
    <xf numFmtId="0" fontId="6" fillId="0" borderId="28" xfId="0" applyFont="1" applyBorder="1" applyAlignment="1">
      <alignment horizontal="center" vertical="center" textRotation="90"/>
    </xf>
    <xf numFmtId="0" fontId="6" fillId="0" borderId="45" xfId="0" applyFont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9" fontId="2" fillId="11" borderId="19" xfId="3" applyFont="1" applyFill="1" applyBorder="1" applyAlignment="1">
      <alignment horizontal="center" vertical="center"/>
    </xf>
    <xf numFmtId="9" fontId="2" fillId="11" borderId="20" xfId="3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11" borderId="3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9" fontId="7" fillId="13" borderId="0" xfId="0" applyNumberFormat="1" applyFont="1" applyFill="1" applyAlignment="1">
      <alignment horizontal="center" vertical="center"/>
    </xf>
    <xf numFmtId="1" fontId="7" fillId="13" borderId="0" xfId="1" applyNumberFormat="1" applyFont="1" applyFill="1" applyAlignment="1">
      <alignment horizontal="center" vertical="center"/>
    </xf>
    <xf numFmtId="0" fontId="8" fillId="12" borderId="0" xfId="0" applyFont="1" applyFill="1" applyAlignment="1">
      <alignment horizontal="center"/>
    </xf>
    <xf numFmtId="44" fontId="7" fillId="14" borderId="64" xfId="0" applyNumberFormat="1" applyFont="1" applyFill="1" applyBorder="1" applyAlignment="1">
      <alignment horizontal="center" vertical="center"/>
    </xf>
    <xf numFmtId="9" fontId="7" fillId="14" borderId="65" xfId="0" applyNumberFormat="1" applyFont="1" applyFill="1" applyBorder="1" applyAlignment="1">
      <alignment horizontal="center" vertical="center"/>
    </xf>
    <xf numFmtId="9" fontId="7" fillId="14" borderId="66" xfId="0" applyNumberFormat="1" applyFont="1" applyFill="1" applyBorder="1" applyAlignment="1">
      <alignment horizontal="center" vertical="center"/>
    </xf>
    <xf numFmtId="9" fontId="7" fillId="14" borderId="67" xfId="0" applyNumberFormat="1" applyFont="1" applyFill="1" applyBorder="1" applyAlignment="1">
      <alignment horizontal="center" vertical="center"/>
    </xf>
    <xf numFmtId="9" fontId="7" fillId="14" borderId="0" xfId="0" applyNumberFormat="1" applyFont="1" applyFill="1" applyBorder="1" applyAlignment="1">
      <alignment horizontal="center" vertical="center"/>
    </xf>
    <xf numFmtId="9" fontId="7" fillId="14" borderId="68" xfId="0" applyNumberFormat="1" applyFont="1" applyFill="1" applyBorder="1" applyAlignment="1">
      <alignment horizontal="center" vertical="center"/>
    </xf>
    <xf numFmtId="9" fontId="7" fillId="14" borderId="69" xfId="0" applyNumberFormat="1" applyFont="1" applyFill="1" applyBorder="1" applyAlignment="1">
      <alignment horizontal="center" vertical="center"/>
    </xf>
    <xf numFmtId="9" fontId="7" fillId="14" borderId="70" xfId="0" applyNumberFormat="1" applyFont="1" applyFill="1" applyBorder="1" applyAlignment="1">
      <alignment horizontal="center" vertical="center"/>
    </xf>
    <xf numFmtId="9" fontId="7" fillId="14" borderId="71" xfId="0" applyNumberFormat="1" applyFont="1" applyFill="1" applyBorder="1" applyAlignment="1">
      <alignment horizontal="center" vertical="center"/>
    </xf>
    <xf numFmtId="44" fontId="7" fillId="14" borderId="0" xfId="0" applyNumberFormat="1" applyFont="1" applyFill="1" applyAlignment="1">
      <alignment horizontal="center" vertical="center"/>
    </xf>
    <xf numFmtId="2" fontId="7" fillId="14" borderId="64" xfId="3" applyNumberFormat="1" applyFont="1" applyFill="1" applyBorder="1" applyAlignment="1">
      <alignment horizontal="center" vertical="center"/>
    </xf>
    <xf numFmtId="2" fontId="7" fillId="14" borderId="65" xfId="3" applyNumberFormat="1" applyFont="1" applyFill="1" applyBorder="1" applyAlignment="1">
      <alignment horizontal="center" vertical="center"/>
    </xf>
    <xf numFmtId="2" fontId="7" fillId="14" borderId="66" xfId="3" applyNumberFormat="1" applyFont="1" applyFill="1" applyBorder="1" applyAlignment="1">
      <alignment horizontal="center" vertical="center"/>
    </xf>
    <xf numFmtId="2" fontId="7" fillId="14" borderId="67" xfId="3" applyNumberFormat="1" applyFont="1" applyFill="1" applyBorder="1" applyAlignment="1">
      <alignment horizontal="center" vertical="center"/>
    </xf>
    <xf numFmtId="2" fontId="7" fillId="14" borderId="0" xfId="3" applyNumberFormat="1" applyFont="1" applyFill="1" applyBorder="1" applyAlignment="1">
      <alignment horizontal="center" vertical="center"/>
    </xf>
    <xf numFmtId="2" fontId="7" fillId="14" borderId="68" xfId="3" applyNumberFormat="1" applyFont="1" applyFill="1" applyBorder="1" applyAlignment="1">
      <alignment horizontal="center" vertical="center"/>
    </xf>
    <xf numFmtId="2" fontId="7" fillId="14" borderId="69" xfId="3" applyNumberFormat="1" applyFont="1" applyFill="1" applyBorder="1" applyAlignment="1">
      <alignment horizontal="center" vertical="center"/>
    </xf>
    <xf numFmtId="2" fontId="7" fillId="14" borderId="70" xfId="3" applyNumberFormat="1" applyFont="1" applyFill="1" applyBorder="1" applyAlignment="1">
      <alignment horizontal="center" vertical="center"/>
    </xf>
    <xf numFmtId="2" fontId="7" fillId="14" borderId="71" xfId="3" applyNumberFormat="1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74"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35" formatCode="_-* #,##0.00_-;\-* #,##0.00_-;_-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_-* #,##0_-;\-* #,##0_-;_-* &quot;-&quot;??_-;_-@_-"/>
    </dxf>
    <dxf>
      <alignment vertical="center"/>
    </dxf>
    <dxf>
      <numFmt numFmtId="166" formatCode="_-* #,##0_-;\-* #,##0_-;_-* &quot;-&quot;??_-;_-@_-"/>
    </dxf>
    <dxf>
      <alignment horizontal="general"/>
    </dxf>
    <dxf>
      <alignment horizontal="general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ill>
        <patternFill>
          <bgColor theme="1" tint="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2857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7A-486F-AD66-4DDF4BED2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INDICADORES!$G$4</c:f>
              <c:numCache>
                <c:formatCode>0%</c:formatCode>
                <c:ptCount val="1"/>
                <c:pt idx="0">
                  <c:v>0.53515625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A-486F-AD66-4DDF4BED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99684416"/>
        <c:axId val="1199684832"/>
      </c:barChart>
      <c:catAx>
        <c:axId val="11996844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9684832"/>
        <c:crosses val="autoZero"/>
        <c:auto val="1"/>
        <c:lblAlgn val="ctr"/>
        <c:lblOffset val="100"/>
        <c:noMultiLvlLbl val="0"/>
      </c:catAx>
      <c:valAx>
        <c:axId val="11996848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968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bg1">
                  <a:lumMod val="95000"/>
                </a:schemeClr>
              </a:solidFill>
              <a:ln w="9575">
                <a:solidFill>
                  <a:schemeClr val="lt1">
                    <a:lumMod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'CURVA S'!$O$3:$O$39</c:f>
              <c:numCache>
                <c:formatCode>0%</c:formatCode>
                <c:ptCount val="37"/>
                <c:pt idx="0">
                  <c:v>1.000001497412913</c:v>
                </c:pt>
                <c:pt idx="1">
                  <c:v>1.000001497412913</c:v>
                </c:pt>
                <c:pt idx="2">
                  <c:v>7.3376203382212971E-2</c:v>
                </c:pt>
                <c:pt idx="3">
                  <c:v>0.34611235721901773</c:v>
                </c:pt>
                <c:pt idx="4">
                  <c:v>0.99674345805356934</c:v>
                </c:pt>
                <c:pt idx="5">
                  <c:v>1.0000000866813439</c:v>
                </c:pt>
                <c:pt idx="6">
                  <c:v>0.59585743284043036</c:v>
                </c:pt>
                <c:pt idx="7">
                  <c:v>0.78643492536139836</c:v>
                </c:pt>
                <c:pt idx="8">
                  <c:v>0.75829547916332229</c:v>
                </c:pt>
                <c:pt idx="9">
                  <c:v>0.86062562658576236</c:v>
                </c:pt>
                <c:pt idx="10">
                  <c:v>0.82780286001591896</c:v>
                </c:pt>
                <c:pt idx="11">
                  <c:v>0.87773322086323624</c:v>
                </c:pt>
                <c:pt idx="12">
                  <c:v>0.83522417842560515</c:v>
                </c:pt>
                <c:pt idx="13">
                  <c:v>0.88593458344629272</c:v>
                </c:pt>
                <c:pt idx="14">
                  <c:v>0.94568938132923785</c:v>
                </c:pt>
                <c:pt idx="15">
                  <c:v>0.96887810730690871</c:v>
                </c:pt>
                <c:pt idx="16">
                  <c:v>0.96680029830328285</c:v>
                </c:pt>
                <c:pt idx="17">
                  <c:v>0.95590874336207299</c:v>
                </c:pt>
                <c:pt idx="18">
                  <c:v>0.94328686229227821</c:v>
                </c:pt>
                <c:pt idx="19">
                  <c:v>0.92290726204855855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F-4EB8-BAD7-CDE2BC8383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6790448"/>
        <c:axId val="1076778384"/>
      </c:lineChart>
      <c:catAx>
        <c:axId val="1076790448"/>
        <c:scaling>
          <c:orientation val="minMax"/>
        </c:scaling>
        <c:delete val="0"/>
        <c:axPos val="b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6778384"/>
        <c:crosses val="autoZero"/>
        <c:auto val="1"/>
        <c:lblAlgn val="ctr"/>
        <c:lblOffset val="100"/>
        <c:noMultiLvlLbl val="0"/>
      </c:catAx>
      <c:valAx>
        <c:axId val="1076778384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679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538928918163341E-2"/>
          <c:w val="0.81494544757721465"/>
          <c:h val="0.694487653494701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INDICADORES!$B$48:$B$49</c:f>
              <c:numCache>
                <c:formatCode>General</c:formatCode>
                <c:ptCount val="2"/>
              </c:numCache>
            </c:numRef>
          </c:cat>
          <c:val>
            <c:numRef>
              <c:f>INDICADORES!$C$48:$C$49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5CB4-4330-B9EB-F754B1C927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538928918163341E-2"/>
          <c:w val="0.81494544757721465"/>
          <c:h val="0.694487653494701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INDICADORES!$B$47:$B$48</c:f>
              <c:numCache>
                <c:formatCode>General</c:formatCode>
                <c:ptCount val="2"/>
              </c:numCache>
            </c:numRef>
          </c:cat>
          <c:val>
            <c:numRef>
              <c:f>INDICADORES!$C$47:$C$48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CB79-4329-B32B-D8CF2531D4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Mensal - Desembolso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rgbClr val="3DB196"/>
              </a:solidFill>
            </a:ln>
            <a:effectLst/>
          </c:spPr>
          <c:invertIfNegative val="0"/>
          <c:cat>
            <c:numRef>
              <c:f>'[1]FLUXO -planejado (2)'!$A$2:$A$26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'[1]FLUXO -planejado (2)'!$K$2:$K$26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D4C-89CC-361409ED298D}"/>
            </c:ext>
          </c:extLst>
        </c:ser>
        <c:ser>
          <c:idx val="2"/>
          <c:order val="2"/>
          <c:tx>
            <c:v>Mensal - Projeção</c:v>
          </c:tx>
          <c:spPr>
            <a:solidFill>
              <a:srgbClr val="3DB196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'[1]FLUXO -planejado (2)'!$L$2:$L$27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D4C-89CC-361409ED2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382896"/>
        <c:axId val="1018380272"/>
      </c:barChart>
      <c:lineChart>
        <c:grouping val="standard"/>
        <c:varyColors val="0"/>
        <c:ser>
          <c:idx val="1"/>
          <c:order val="1"/>
          <c:tx>
            <c:v>Acumulado - Desembolso</c:v>
          </c:tx>
          <c:spPr>
            <a:ln w="28575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'[1]FLUXO -planejado (2)'!$A$2:$A$26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'[1]FLUXO -planejado (2)'!$M$2:$M$26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D4C-89CC-361409ED298D}"/>
            </c:ext>
          </c:extLst>
        </c:ser>
        <c:ser>
          <c:idx val="3"/>
          <c:order val="3"/>
          <c:tx>
            <c:v>Acumulado Projeção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'[1]FLUXO -planejado (2)'!$N$2:$N$27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C-4D4C-89CC-361409ED298D}"/>
            </c:ext>
          </c:extLst>
        </c:ser>
        <c:ser>
          <c:idx val="4"/>
          <c:order val="4"/>
          <c:tx>
            <c:v>Orçamento Inicial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'[1]FLUXO -planejado (2)'!$O$2:$O$27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C-4D4C-89CC-361409ED2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200720"/>
        <c:axId val="878204328"/>
      </c:lineChart>
      <c:catAx>
        <c:axId val="101838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1018380272"/>
        <c:crosses val="autoZero"/>
        <c:auto val="1"/>
        <c:lblAlgn val="ctr"/>
        <c:lblOffset val="100"/>
        <c:noMultiLvlLbl val="0"/>
      </c:catAx>
      <c:valAx>
        <c:axId val="101838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1018382896"/>
        <c:crosses val="autoZero"/>
        <c:crossBetween val="between"/>
      </c:valAx>
      <c:valAx>
        <c:axId val="8782043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878200720"/>
        <c:crosses val="max"/>
        <c:crossBetween val="between"/>
      </c:valAx>
      <c:catAx>
        <c:axId val="87820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820432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1481481481481488E-2"/>
          <c:w val="0.81494544757721465"/>
          <c:h val="0.698395450568678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38100"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INDICADORES!$B$11:$B$12</c:f>
              <c:strCache>
                <c:ptCount val="2"/>
                <c:pt idx="0">
                  <c:v>% FÍSICO PLANEJADO</c:v>
                </c:pt>
                <c:pt idx="1">
                  <c:v>% FÍSICO EXECUTADO</c:v>
                </c:pt>
              </c:strCache>
            </c:strRef>
          </c:cat>
          <c:val>
            <c:numRef>
              <c:f>INDICADORES!$C$11:$C$12</c:f>
              <c:numCache>
                <c:formatCode>0%</c:formatCode>
                <c:ptCount val="2"/>
                <c:pt idx="0">
                  <c:v>0.6621981602653032</c:v>
                </c:pt>
                <c:pt idx="1">
                  <c:v>0.61114749102404353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0-4CB8-A4F7-F5B162B244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32557335530541E-2"/>
          <c:y val="7.0018510844039233E-2"/>
          <c:w val="0.89666926373198297"/>
          <c:h val="0.6721679790026247"/>
        </c:manualLayout>
      </c:layout>
      <c:barChart>
        <c:barDir val="col"/>
        <c:grouping val="clustered"/>
        <c:varyColors val="0"/>
        <c:ser>
          <c:idx val="0"/>
          <c:order val="2"/>
          <c:tx>
            <c:v>Data Status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25400">
                <a:noFill/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28-4197-B59B-DC82692D014F}"/>
              </c:ext>
            </c:extLst>
          </c:dPt>
          <c:val>
            <c:numRef>
              <c:f>'CURVA S'!$A$3:$A$39</c:f>
              <c:numCache>
                <c:formatCode>_(* #,##0.00_);_(* \(#,##0.00\);_(* "-"??_);_(@_)</c:formatCode>
                <c:ptCount val="37"/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28-4197-B59B-DC82692D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2115672767"/>
        <c:axId val="2115673183"/>
      </c:barChar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8086063"/>
        <c:axId val="58085647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v>Plan Sem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'CURVA S'!$E$3:$E$39</c15:sqref>
                        </c15:formulaRef>
                      </c:ext>
                    </c:extLst>
                    <c:numCache>
                      <c:formatCode>0.0%</c:formatCode>
                      <c:ptCount val="37"/>
                      <c:pt idx="0">
                        <c:v>1.7727504369912529E-3</c:v>
                      </c:pt>
                      <c:pt idx="1">
                        <c:v>0</c:v>
                      </c:pt>
                      <c:pt idx="2">
                        <c:v>2.2387031751472039E-2</c:v>
                      </c:pt>
                      <c:pt idx="3">
                        <c:v>4.5643521189345032E-2</c:v>
                      </c:pt>
                      <c:pt idx="4">
                        <c:v>2.2806549485792469E-4</c:v>
                      </c:pt>
                      <c:pt idx="5">
                        <c:v>2.2749341505726568E-2</c:v>
                      </c:pt>
                      <c:pt idx="6">
                        <c:v>6.292888273428722E-2</c:v>
                      </c:pt>
                      <c:pt idx="7">
                        <c:v>4.2284664062088251E-2</c:v>
                      </c:pt>
                      <c:pt idx="8">
                        <c:v>6.3110114182178267E-2</c:v>
                      </c:pt>
                      <c:pt idx="9">
                        <c:v>4.2284664062088251E-2</c:v>
                      </c:pt>
                      <c:pt idx="10">
                        <c:v>6.3110114182178267E-2</c:v>
                      </c:pt>
                      <c:pt idx="11">
                        <c:v>5.1052732723399712E-2</c:v>
                      </c:pt>
                      <c:pt idx="12">
                        <c:v>7.1878182843489735E-2</c:v>
                      </c:pt>
                      <c:pt idx="13">
                        <c:v>5.3841749294944466E-2</c:v>
                      </c:pt>
                      <c:pt idx="14">
                        <c:v>2.2606418759157691E-2</c:v>
                      </c:pt>
                      <c:pt idx="15">
                        <c:v>9.7890781074833188E-3</c:v>
                      </c:pt>
                      <c:pt idx="16">
                        <c:v>1.0969666633115162E-2</c:v>
                      </c:pt>
                      <c:pt idx="17">
                        <c:v>4.1512759078119972E-2</c:v>
                      </c:pt>
                      <c:pt idx="18">
                        <c:v>1.9741710889238994E-2</c:v>
                      </c:pt>
                      <c:pt idx="19">
                        <c:v>1.4306712335141197E-2</c:v>
                      </c:pt>
                      <c:pt idx="20" formatCode="0.00%">
                        <c:v>2.0708547682173024E-2</c:v>
                      </c:pt>
                      <c:pt idx="21" formatCode="0.00%">
                        <c:v>1.7910317459067734E-2</c:v>
                      </c:pt>
                      <c:pt idx="22" formatCode="0.00%">
                        <c:v>3.5178133498310601E-2</c:v>
                      </c:pt>
                      <c:pt idx="23" formatCode="0.00%">
                        <c:v>3.8368084829450345E-2</c:v>
                      </c:pt>
                      <c:pt idx="24" formatCode="0.00%">
                        <c:v>2.6548969113430236E-2</c:v>
                      </c:pt>
                      <c:pt idx="25" formatCode="0.00%">
                        <c:v>2.4467722619750467E-2</c:v>
                      </c:pt>
                      <c:pt idx="26" formatCode="0.00%">
                        <c:v>1.3112690396946052E-2</c:v>
                      </c:pt>
                      <c:pt idx="27" formatCode="0.00%">
                        <c:v>1.9938248338332291E-2</c:v>
                      </c:pt>
                      <c:pt idx="28" formatCode="0.00%">
                        <c:v>2.4439876316207355E-2</c:v>
                      </c:pt>
                      <c:pt idx="29" formatCode="0.00%">
                        <c:v>2.387595460057404E-2</c:v>
                      </c:pt>
                      <c:pt idx="30" formatCode="0.00%">
                        <c:v>3.2898972833530826E-2</c:v>
                      </c:pt>
                      <c:pt idx="31" formatCode="0.00%">
                        <c:v>2.2005316059223859E-2</c:v>
                      </c:pt>
                      <c:pt idx="32" formatCode="0.00%">
                        <c:v>1.7105782373259552E-2</c:v>
                      </c:pt>
                      <c:pt idx="33" formatCode="0.00%">
                        <c:v>1.2731732376923922E-2</c:v>
                      </c:pt>
                      <c:pt idx="34" formatCode="0.00%">
                        <c:v>2.4027532794427047E-3</c:v>
                      </c:pt>
                      <c:pt idx="35" formatCode="0.00%">
                        <c:v>3.0543689790367753E-3</c:v>
                      </c:pt>
                      <c:pt idx="36" formatCode="0.00%">
                        <c:v>3.0543689790367753E-3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A28-4197-B59B-DC82692D014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1"/>
          <c:tx>
            <c:v>Plan Acumulado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'CURVA S'!$F$3:$F$39</c:f>
              <c:numCache>
                <c:formatCode>0.0%</c:formatCode>
                <c:ptCount val="37"/>
                <c:pt idx="0">
                  <c:v>1.7727504369912529E-3</c:v>
                </c:pt>
                <c:pt idx="1">
                  <c:v>1.7727504369912529E-3</c:v>
                </c:pt>
                <c:pt idx="2">
                  <c:v>2.4159782188463288E-2</c:v>
                </c:pt>
                <c:pt idx="3">
                  <c:v>6.9803303377808323E-2</c:v>
                </c:pt>
                <c:pt idx="4">
                  <c:v>7.0031368872666241E-2</c:v>
                </c:pt>
                <c:pt idx="5">
                  <c:v>9.2780710378392806E-2</c:v>
                </c:pt>
                <c:pt idx="6">
                  <c:v>0.15570959311268001</c:v>
                </c:pt>
                <c:pt idx="7">
                  <c:v>0.19799425717476826</c:v>
                </c:pt>
                <c:pt idx="8">
                  <c:v>0.26110437135694653</c:v>
                </c:pt>
                <c:pt idx="9">
                  <c:v>0.30338903541903478</c:v>
                </c:pt>
                <c:pt idx="10">
                  <c:v>0.36649914960121299</c:v>
                </c:pt>
                <c:pt idx="11">
                  <c:v>0.41755188232461271</c:v>
                </c:pt>
                <c:pt idx="12">
                  <c:v>0.48943006516810245</c:v>
                </c:pt>
                <c:pt idx="13">
                  <c:v>0.54327181446304695</c:v>
                </c:pt>
                <c:pt idx="14">
                  <c:v>0.56587823322220465</c:v>
                </c:pt>
                <c:pt idx="15">
                  <c:v>0.57566731132968796</c:v>
                </c:pt>
                <c:pt idx="16">
                  <c:v>0.58663697796280312</c:v>
                </c:pt>
                <c:pt idx="17">
                  <c:v>0.62814973704092303</c:v>
                </c:pt>
                <c:pt idx="18">
                  <c:v>0.64789144793016207</c:v>
                </c:pt>
                <c:pt idx="19">
                  <c:v>0.6621981602653032</c:v>
                </c:pt>
                <c:pt idx="20">
                  <c:v>0.68290670794747621</c:v>
                </c:pt>
                <c:pt idx="21">
                  <c:v>0.700817025406544</c:v>
                </c:pt>
                <c:pt idx="22">
                  <c:v>0.73599515890485467</c:v>
                </c:pt>
                <c:pt idx="23">
                  <c:v>0.77436324373430498</c:v>
                </c:pt>
                <c:pt idx="24">
                  <c:v>0.80091221284773517</c:v>
                </c:pt>
                <c:pt idx="25">
                  <c:v>0.82537993546748567</c:v>
                </c:pt>
                <c:pt idx="26">
                  <c:v>0.83849262586443174</c:v>
                </c:pt>
                <c:pt idx="27">
                  <c:v>0.85843087420276398</c:v>
                </c:pt>
                <c:pt idx="28">
                  <c:v>0.88287075051897135</c:v>
                </c:pt>
                <c:pt idx="29">
                  <c:v>0.90674670511954536</c:v>
                </c:pt>
                <c:pt idx="30">
                  <c:v>0.9396456779530763</c:v>
                </c:pt>
                <c:pt idx="31">
                  <c:v>0.96165099401230014</c:v>
                </c:pt>
                <c:pt idx="32">
                  <c:v>0.9787567763855598</c:v>
                </c:pt>
                <c:pt idx="33">
                  <c:v>0.99148850876248362</c:v>
                </c:pt>
                <c:pt idx="34">
                  <c:v>0.99389126204192635</c:v>
                </c:pt>
                <c:pt idx="35">
                  <c:v>0.99694563102096323</c:v>
                </c:pt>
                <c:pt idx="3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28-4197-B59B-DC82692D014F}"/>
            </c:ext>
          </c:extLst>
        </c:ser>
        <c:ser>
          <c:idx val="3"/>
          <c:order val="3"/>
          <c:tx>
            <c:v>Exe Acumulado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'CURVA S'!$J$3:$J$39</c:f>
              <c:numCache>
                <c:formatCode>0.00%</c:formatCode>
                <c:ptCount val="37"/>
                <c:pt idx="0">
                  <c:v>1.7727530915306487E-3</c:v>
                </c:pt>
                <c:pt idx="1">
                  <c:v>1.7727530915306487E-3</c:v>
                </c:pt>
                <c:pt idx="2">
                  <c:v>1.7727530915306487E-3</c:v>
                </c:pt>
                <c:pt idx="3">
                  <c:v>2.4159785873767461E-2</c:v>
                </c:pt>
                <c:pt idx="4">
                  <c:v>6.9803308782366444E-2</c:v>
                </c:pt>
                <c:pt idx="5">
                  <c:v>9.2780718420749475E-2</c:v>
                </c:pt>
                <c:pt idx="6">
                  <c:v>9.2780718420749475E-2</c:v>
                </c:pt>
                <c:pt idx="7">
                  <c:v>0.15570959886322439</c:v>
                </c:pt>
                <c:pt idx="8">
                  <c:v>0.19799426438975382</c:v>
                </c:pt>
                <c:pt idx="9">
                  <c:v>0.26110437870675685</c:v>
                </c:pt>
                <c:pt idx="10">
                  <c:v>0.30338904423328628</c:v>
                </c:pt>
                <c:pt idx="11">
                  <c:v>0.36649915855028931</c:v>
                </c:pt>
                <c:pt idx="12">
                  <c:v>0.40878382407681874</c:v>
                </c:pt>
                <c:pt idx="13">
                  <c:v>0.48130328864443112</c:v>
                </c:pt>
                <c:pt idx="14">
                  <c:v>0.53514503628358889</c:v>
                </c:pt>
                <c:pt idx="15">
                  <c:v>0.55775145503956503</c:v>
                </c:pt>
                <c:pt idx="16">
                  <c:v>0.56716080529017443</c:v>
                </c:pt>
                <c:pt idx="17">
                  <c:v>0.60045382577800532</c:v>
                </c:pt>
                <c:pt idx="18">
                  <c:v>0.61114749102404353</c:v>
                </c:pt>
                <c:pt idx="19">
                  <c:v>0.61114749102404353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28-4197-B59B-DC82692D014F}"/>
            </c:ext>
          </c:extLst>
        </c:ser>
        <c:ser>
          <c:idx val="4"/>
          <c:order val="4"/>
          <c:tx>
            <c:v>Replan</c:v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'CURVA S'!$N$3:$N$39</c:f>
              <c:numCache>
                <c:formatCode>General</c:formatCode>
                <c:ptCount val="37"/>
                <c:pt idx="19" formatCode="0.00%">
                  <c:v>0.61114749102404353</c:v>
                </c:pt>
                <c:pt idx="20" formatCode="0.00%">
                  <c:v>0.63489684371710775</c:v>
                </c:pt>
                <c:pt idx="21" formatCode="0.00%">
                  <c:v>0.6656366058284342</c:v>
                </c:pt>
                <c:pt idx="22" formatCode="0.00%">
                  <c:v>0.70081702467398221</c:v>
                </c:pt>
                <c:pt idx="23" formatCode="0.00%">
                  <c:v>0.71872734030918184</c:v>
                </c:pt>
                <c:pt idx="24" formatCode="0.00%">
                  <c:v>0.77101750625756516</c:v>
                </c:pt>
                <c:pt idx="25" formatCode="0.00%">
                  <c:v>0.79606939312101899</c:v>
                </c:pt>
                <c:pt idx="26" formatCode="0.00%">
                  <c:v>0.82226819529348516</c:v>
                </c:pt>
                <c:pt idx="27" formatCode="0.00%">
                  <c:v>0.83590840808767475</c:v>
                </c:pt>
                <c:pt idx="28" formatCode="0.00%">
                  <c:v>0.85825002977180687</c:v>
                </c:pt>
                <c:pt idx="29" formatCode="0.00%">
                  <c:v>0.8757915635018213</c:v>
                </c:pt>
                <c:pt idx="30" formatCode="0.00%">
                  <c:v>0.91123071287705026</c:v>
                </c:pt>
                <c:pt idx="31" formatCode="0.00%">
                  <c:v>0.94623217198686171</c:v>
                </c:pt>
                <c:pt idx="32" formatCode="0.00%">
                  <c:v>0.96333795726624361</c:v>
                </c:pt>
                <c:pt idx="33" formatCode="0.00%">
                  <c:v>0.97464911961384515</c:v>
                </c:pt>
                <c:pt idx="34" formatCode="0.00%">
                  <c:v>0.98596028196144669</c:v>
                </c:pt>
                <c:pt idx="35" formatCode="0.00%">
                  <c:v>0.99727144430904824</c:v>
                </c:pt>
                <c:pt idx="36" formatCode="0.00%">
                  <c:v>1.0000000068572144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A28-4197-B59B-DC82692D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672767"/>
        <c:axId val="2115673183"/>
      </c:lineChart>
      <c:catAx>
        <c:axId val="2115672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800" b="1">
                    <a:latin typeface="Arial" panose="020B0604020202020204" pitchFamily="34" charset="0"/>
                    <a:cs typeface="Arial" panose="020B0604020202020204" pitchFamily="34" charset="0"/>
                  </a:rPr>
                  <a:t>semanas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115673183"/>
        <c:crosses val="autoZero"/>
        <c:auto val="1"/>
        <c:lblAlgn val="ctr"/>
        <c:lblOffset val="100"/>
        <c:noMultiLvlLbl val="0"/>
      </c:catAx>
      <c:valAx>
        <c:axId val="21156731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800" b="1">
                    <a:latin typeface="Arial" panose="020B0604020202020204" pitchFamily="34" charset="0"/>
                    <a:cs typeface="Arial" panose="020B0604020202020204" pitchFamily="34" charset="0"/>
                  </a:rPr>
                  <a:t>%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5672767"/>
        <c:crosses val="autoZero"/>
        <c:crossBetween val="between"/>
      </c:valAx>
      <c:valAx>
        <c:axId val="58085647"/>
        <c:scaling>
          <c:orientation val="minMax"/>
        </c:scaling>
        <c:delete val="1"/>
        <c:axPos val="r"/>
        <c:numFmt formatCode="0.0%" sourceLinked="1"/>
        <c:majorTickMark val="none"/>
        <c:minorTickMark val="none"/>
        <c:tickLblPos val="nextTo"/>
        <c:crossAx val="58086063"/>
        <c:crosses val="max"/>
        <c:crossBetween val="between"/>
      </c:valAx>
      <c:catAx>
        <c:axId val="58086063"/>
        <c:scaling>
          <c:orientation val="minMax"/>
        </c:scaling>
        <c:delete val="1"/>
        <c:axPos val="b"/>
        <c:majorTickMark val="out"/>
        <c:minorTickMark val="none"/>
        <c:tickLblPos val="nextTo"/>
        <c:crossAx val="58085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4232093948671774E-2"/>
          <c:y val="0.88666713210873072"/>
          <c:w val="0.42343943602088435"/>
          <c:h val="0.1133327807708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 w="9575"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'CURVA S'!$O$3:$O$39</c:f>
              <c:numCache>
                <c:formatCode>0%</c:formatCode>
                <c:ptCount val="37"/>
                <c:pt idx="0">
                  <c:v>1.000001497412913</c:v>
                </c:pt>
                <c:pt idx="1">
                  <c:v>1.000001497412913</c:v>
                </c:pt>
                <c:pt idx="2">
                  <c:v>7.3376203382212971E-2</c:v>
                </c:pt>
                <c:pt idx="3">
                  <c:v>0.34611235721901773</c:v>
                </c:pt>
                <c:pt idx="4">
                  <c:v>0.99674345805356934</c:v>
                </c:pt>
                <c:pt idx="5">
                  <c:v>1.0000000866813439</c:v>
                </c:pt>
                <c:pt idx="6">
                  <c:v>0.59585743284043036</c:v>
                </c:pt>
                <c:pt idx="7">
                  <c:v>0.78643492536139836</c:v>
                </c:pt>
                <c:pt idx="8">
                  <c:v>0.75829547916332229</c:v>
                </c:pt>
                <c:pt idx="9">
                  <c:v>0.86062562658576236</c:v>
                </c:pt>
                <c:pt idx="10">
                  <c:v>0.82780286001591896</c:v>
                </c:pt>
                <c:pt idx="11">
                  <c:v>0.87773322086323624</c:v>
                </c:pt>
                <c:pt idx="12">
                  <c:v>0.83522417842560515</c:v>
                </c:pt>
                <c:pt idx="13">
                  <c:v>0.88593458344629272</c:v>
                </c:pt>
                <c:pt idx="14">
                  <c:v>0.94568938132923785</c:v>
                </c:pt>
                <c:pt idx="15">
                  <c:v>0.96887810730690871</c:v>
                </c:pt>
                <c:pt idx="16">
                  <c:v>0.96680029830328285</c:v>
                </c:pt>
                <c:pt idx="17">
                  <c:v>0.95590874336207299</c:v>
                </c:pt>
                <c:pt idx="18">
                  <c:v>0.94328686229227821</c:v>
                </c:pt>
                <c:pt idx="19">
                  <c:v>0.92290726204855855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B-4C34-855C-1087173D43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6790448"/>
        <c:axId val="1076778384"/>
      </c:lineChart>
      <c:catAx>
        <c:axId val="1076790448"/>
        <c:scaling>
          <c:orientation val="minMax"/>
        </c:scaling>
        <c:delete val="0"/>
        <c:axPos val="b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76778384"/>
        <c:crosses val="autoZero"/>
        <c:auto val="1"/>
        <c:lblAlgn val="ctr"/>
        <c:lblOffset val="100"/>
        <c:noMultiLvlLbl val="0"/>
      </c:catAx>
      <c:valAx>
        <c:axId val="1076778384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679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1481481481481488E-2"/>
          <c:w val="0.81494544757721465"/>
          <c:h val="0.698395450568678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INDICADORES!$B$18:$B$19</c:f>
              <c:strCache>
                <c:ptCount val="2"/>
                <c:pt idx="0">
                  <c:v>% FÍSICO PLANEJADO</c:v>
                </c:pt>
                <c:pt idx="1">
                  <c:v>% FÍSICO EXECUTADO</c:v>
                </c:pt>
              </c:strCache>
            </c:strRef>
          </c:cat>
          <c:val>
            <c:numRef>
              <c:f>INDICADORES!$C$18:$C$19</c:f>
              <c:numCache>
                <c:formatCode>0%</c:formatCode>
                <c:ptCount val="2"/>
                <c:pt idx="0">
                  <c:v>0.06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D-4492-B26A-D9B932973F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0.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INDICADORES!$B$24:$B$27</c:f>
              <c:strCache>
                <c:ptCount val="4"/>
                <c:pt idx="0">
                  <c:v>PPC 17</c:v>
                </c:pt>
                <c:pt idx="1">
                  <c:v>PPC 18</c:v>
                </c:pt>
                <c:pt idx="2">
                  <c:v>PPC 19</c:v>
                </c:pt>
                <c:pt idx="3">
                  <c:v>PPC 20</c:v>
                </c:pt>
              </c:strCache>
            </c:strRef>
          </c:cat>
          <c:val>
            <c:numRef>
              <c:f>INDICADORES!$C$24:$C$27</c:f>
              <c:numCache>
                <c:formatCode>0%</c:formatCode>
                <c:ptCount val="4"/>
                <c:pt idx="0">
                  <c:v>0.8</c:v>
                </c:pt>
                <c:pt idx="1">
                  <c:v>0.88</c:v>
                </c:pt>
                <c:pt idx="2">
                  <c:v>0.87</c:v>
                </c:pt>
                <c:pt idx="3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7-42CA-8769-C7FFD3D87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1081444064"/>
        <c:axId val="1081462784"/>
      </c:lineChart>
      <c:catAx>
        <c:axId val="108144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81462784"/>
        <c:crosses val="autoZero"/>
        <c:auto val="1"/>
        <c:lblAlgn val="ctr"/>
        <c:lblOffset val="100"/>
        <c:noMultiLvlLbl val="0"/>
      </c:catAx>
      <c:valAx>
        <c:axId val="1081462784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814440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1481481481481488E-2"/>
          <c:w val="0.81494544757721465"/>
          <c:h val="0.698395450568678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INDICADORES!$E$17:$F$18</c:f>
              <c:strCache>
                <c:ptCount val="2"/>
                <c:pt idx="0">
                  <c:v>TERMINALIDADE</c:v>
                </c:pt>
                <c:pt idx="1">
                  <c:v>ADERÊNCIA AO LOTE</c:v>
                </c:pt>
              </c:strCache>
            </c:strRef>
          </c:cat>
          <c:val>
            <c:numRef>
              <c:f>INDICADORES!$I$17:$I$18</c:f>
              <c:numCache>
                <c:formatCode>0%</c:formatCode>
                <c:ptCount val="2"/>
                <c:pt idx="0">
                  <c:v>0.5</c:v>
                </c:pt>
                <c:pt idx="1">
                  <c:v>0.60526315789473684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A-4ED1-B2B4-70E6625CA1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INSTALAÇÕES HIDROSSANITÁRIAS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Planejado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RITMO!$J$9:$J$19</c:f>
              <c:numCache>
                <c:formatCode>General</c:formatCode>
                <c:ptCount val="11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</c:numCache>
            </c:numRef>
          </c:cat>
          <c:val>
            <c:numRef>
              <c:f>RITMO!$L$9:$L$19</c:f>
              <c:numCache>
                <c:formatCode>General</c:formatCode>
                <c:ptCount val="11"/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4-48F1-A00D-3A652058E122}"/>
            </c:ext>
          </c:extLst>
        </c:ser>
        <c:ser>
          <c:idx val="1"/>
          <c:order val="1"/>
          <c:tx>
            <c:v>Executado</c:v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RITMO!$J$9:$J$19</c:f>
              <c:numCache>
                <c:formatCode>General</c:formatCode>
                <c:ptCount val="11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</c:numCache>
            </c:numRef>
          </c:cat>
          <c:val>
            <c:numRef>
              <c:f>RITMO!$N$9:$N$19</c:f>
              <c:numCache>
                <c:formatCode>General</c:formatCode>
                <c:ptCount val="11"/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4-48F1-A00D-3A652058E1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4186335"/>
        <c:axId val="2064181343"/>
      </c:lineChart>
      <c:catAx>
        <c:axId val="2064186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semanas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4181343"/>
        <c:crossesAt val="0"/>
        <c:auto val="1"/>
        <c:lblAlgn val="ctr"/>
        <c:lblOffset val="100"/>
        <c:noMultiLvlLbl val="0"/>
      </c:catAx>
      <c:valAx>
        <c:axId val="2064181343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localizações</a:t>
                </a:r>
                <a:r>
                  <a:rPr lang="pt-BR" baseline="0"/>
                  <a:t> 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2.3206751054852322E-2"/>
              <c:y val="0.36731996785006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4186335"/>
        <c:crossesAt val="1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CURVA S - EMPREENDIMENTO NATBIM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2"/>
          <c:tx>
            <c:v>Data Status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25400">
                <a:noFill/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65-4BC7-BC5D-E01FA8DABB62}"/>
              </c:ext>
            </c:extLst>
          </c:dPt>
          <c:val>
            <c:numRef>
              <c:f>'CURVA S'!$A$3:$A$39</c:f>
              <c:numCache>
                <c:formatCode>_(* #,##0.00_);_(* \(#,##0.00\);_(* "-"??_);_(@_)</c:formatCode>
                <c:ptCount val="37"/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65-4BC7-BC5D-E01FA8DA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2115672767"/>
        <c:axId val="2115673183"/>
      </c:barChar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8086063"/>
        <c:axId val="58085647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v>Plan Sem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'CURVA S'!$E$3:$E$39</c15:sqref>
                        </c15:formulaRef>
                      </c:ext>
                    </c:extLst>
                    <c:numCache>
                      <c:formatCode>0.0%</c:formatCode>
                      <c:ptCount val="37"/>
                      <c:pt idx="0">
                        <c:v>1.7727504369912529E-3</c:v>
                      </c:pt>
                      <c:pt idx="1">
                        <c:v>0</c:v>
                      </c:pt>
                      <c:pt idx="2">
                        <c:v>2.2387031751472039E-2</c:v>
                      </c:pt>
                      <c:pt idx="3">
                        <c:v>4.5643521189345032E-2</c:v>
                      </c:pt>
                      <c:pt idx="4">
                        <c:v>2.2806549485792469E-4</c:v>
                      </c:pt>
                      <c:pt idx="5">
                        <c:v>2.2749341505726568E-2</c:v>
                      </c:pt>
                      <c:pt idx="6">
                        <c:v>6.292888273428722E-2</c:v>
                      </c:pt>
                      <c:pt idx="7">
                        <c:v>4.2284664062088251E-2</c:v>
                      </c:pt>
                      <c:pt idx="8">
                        <c:v>6.3110114182178267E-2</c:v>
                      </c:pt>
                      <c:pt idx="9">
                        <c:v>4.2284664062088251E-2</c:v>
                      </c:pt>
                      <c:pt idx="10">
                        <c:v>6.3110114182178267E-2</c:v>
                      </c:pt>
                      <c:pt idx="11">
                        <c:v>5.1052732723399712E-2</c:v>
                      </c:pt>
                      <c:pt idx="12">
                        <c:v>7.1878182843489735E-2</c:v>
                      </c:pt>
                      <c:pt idx="13">
                        <c:v>5.3841749294944466E-2</c:v>
                      </c:pt>
                      <c:pt idx="14">
                        <c:v>2.2606418759157691E-2</c:v>
                      </c:pt>
                      <c:pt idx="15">
                        <c:v>9.7890781074833188E-3</c:v>
                      </c:pt>
                      <c:pt idx="16">
                        <c:v>1.0969666633115162E-2</c:v>
                      </c:pt>
                      <c:pt idx="17">
                        <c:v>4.1512759078119972E-2</c:v>
                      </c:pt>
                      <c:pt idx="18">
                        <c:v>1.9741710889238994E-2</c:v>
                      </c:pt>
                      <c:pt idx="19">
                        <c:v>1.4306712335141197E-2</c:v>
                      </c:pt>
                      <c:pt idx="20" formatCode="0.00%">
                        <c:v>2.0708547682173024E-2</c:v>
                      </c:pt>
                      <c:pt idx="21" formatCode="0.00%">
                        <c:v>1.7910317459067734E-2</c:v>
                      </c:pt>
                      <c:pt idx="22" formatCode="0.00%">
                        <c:v>3.5178133498310601E-2</c:v>
                      </c:pt>
                      <c:pt idx="23" formatCode="0.00%">
                        <c:v>3.8368084829450345E-2</c:v>
                      </c:pt>
                      <c:pt idx="24" formatCode="0.00%">
                        <c:v>2.6548969113430236E-2</c:v>
                      </c:pt>
                      <c:pt idx="25" formatCode="0.00%">
                        <c:v>2.4467722619750467E-2</c:v>
                      </c:pt>
                      <c:pt idx="26" formatCode="0.00%">
                        <c:v>1.3112690396946052E-2</c:v>
                      </c:pt>
                      <c:pt idx="27" formatCode="0.00%">
                        <c:v>1.9938248338332291E-2</c:v>
                      </c:pt>
                      <c:pt idx="28" formatCode="0.00%">
                        <c:v>2.4439876316207355E-2</c:v>
                      </c:pt>
                      <c:pt idx="29" formatCode="0.00%">
                        <c:v>2.387595460057404E-2</c:v>
                      </c:pt>
                      <c:pt idx="30" formatCode="0.00%">
                        <c:v>3.2898972833530826E-2</c:v>
                      </c:pt>
                      <c:pt idx="31" formatCode="0.00%">
                        <c:v>2.2005316059223859E-2</c:v>
                      </c:pt>
                      <c:pt idx="32" formatCode="0.00%">
                        <c:v>1.7105782373259552E-2</c:v>
                      </c:pt>
                      <c:pt idx="33" formatCode="0.00%">
                        <c:v>1.2731732376923922E-2</c:v>
                      </c:pt>
                      <c:pt idx="34" formatCode="0.00%">
                        <c:v>2.4027532794427047E-3</c:v>
                      </c:pt>
                      <c:pt idx="35" formatCode="0.00%">
                        <c:v>3.0543689790367753E-3</c:v>
                      </c:pt>
                      <c:pt idx="36" formatCode="0.00%">
                        <c:v>3.0543689790367753E-3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B65-4BC7-BC5D-E01FA8DABB6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1"/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'CURVA S'!$F$3:$F$39</c:f>
              <c:numCache>
                <c:formatCode>0.0%</c:formatCode>
                <c:ptCount val="37"/>
                <c:pt idx="0">
                  <c:v>1.7727504369912529E-3</c:v>
                </c:pt>
                <c:pt idx="1">
                  <c:v>1.7727504369912529E-3</c:v>
                </c:pt>
                <c:pt idx="2">
                  <c:v>2.4159782188463288E-2</c:v>
                </c:pt>
                <c:pt idx="3">
                  <c:v>6.9803303377808323E-2</c:v>
                </c:pt>
                <c:pt idx="4">
                  <c:v>7.0031368872666241E-2</c:v>
                </c:pt>
                <c:pt idx="5">
                  <c:v>9.2780710378392806E-2</c:v>
                </c:pt>
                <c:pt idx="6">
                  <c:v>0.15570959311268001</c:v>
                </c:pt>
                <c:pt idx="7">
                  <c:v>0.19799425717476826</c:v>
                </c:pt>
                <c:pt idx="8">
                  <c:v>0.26110437135694653</c:v>
                </c:pt>
                <c:pt idx="9">
                  <c:v>0.30338903541903478</c:v>
                </c:pt>
                <c:pt idx="10">
                  <c:v>0.36649914960121299</c:v>
                </c:pt>
                <c:pt idx="11">
                  <c:v>0.41755188232461271</c:v>
                </c:pt>
                <c:pt idx="12">
                  <c:v>0.48943006516810245</c:v>
                </c:pt>
                <c:pt idx="13">
                  <c:v>0.54327181446304695</c:v>
                </c:pt>
                <c:pt idx="14">
                  <c:v>0.56587823322220465</c:v>
                </c:pt>
                <c:pt idx="15">
                  <c:v>0.57566731132968796</c:v>
                </c:pt>
                <c:pt idx="16">
                  <c:v>0.58663697796280312</c:v>
                </c:pt>
                <c:pt idx="17">
                  <c:v>0.62814973704092303</c:v>
                </c:pt>
                <c:pt idx="18">
                  <c:v>0.64789144793016207</c:v>
                </c:pt>
                <c:pt idx="19">
                  <c:v>0.6621981602653032</c:v>
                </c:pt>
                <c:pt idx="20">
                  <c:v>0.68290670794747621</c:v>
                </c:pt>
                <c:pt idx="21">
                  <c:v>0.700817025406544</c:v>
                </c:pt>
                <c:pt idx="22">
                  <c:v>0.73599515890485467</c:v>
                </c:pt>
                <c:pt idx="23">
                  <c:v>0.77436324373430498</c:v>
                </c:pt>
                <c:pt idx="24">
                  <c:v>0.80091221284773517</c:v>
                </c:pt>
                <c:pt idx="25">
                  <c:v>0.82537993546748567</c:v>
                </c:pt>
                <c:pt idx="26">
                  <c:v>0.83849262586443174</c:v>
                </c:pt>
                <c:pt idx="27">
                  <c:v>0.85843087420276398</c:v>
                </c:pt>
                <c:pt idx="28">
                  <c:v>0.88287075051897135</c:v>
                </c:pt>
                <c:pt idx="29">
                  <c:v>0.90674670511954536</c:v>
                </c:pt>
                <c:pt idx="30">
                  <c:v>0.9396456779530763</c:v>
                </c:pt>
                <c:pt idx="31">
                  <c:v>0.96165099401230014</c:v>
                </c:pt>
                <c:pt idx="32">
                  <c:v>0.9787567763855598</c:v>
                </c:pt>
                <c:pt idx="33">
                  <c:v>0.99148850876248362</c:v>
                </c:pt>
                <c:pt idx="34">
                  <c:v>0.99389126204192635</c:v>
                </c:pt>
                <c:pt idx="35">
                  <c:v>0.99694563102096323</c:v>
                </c:pt>
                <c:pt idx="3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65-4BC7-BC5D-E01FA8DABB62}"/>
            </c:ext>
          </c:extLst>
        </c:ser>
        <c:ser>
          <c:idx val="3"/>
          <c:order val="3"/>
          <c:tx>
            <c:v>Exe Acumulado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'CURVA S'!$J$3:$J$39</c:f>
              <c:numCache>
                <c:formatCode>0.00%</c:formatCode>
                <c:ptCount val="37"/>
                <c:pt idx="0">
                  <c:v>1.7727530915306487E-3</c:v>
                </c:pt>
                <c:pt idx="1">
                  <c:v>1.7727530915306487E-3</c:v>
                </c:pt>
                <c:pt idx="2">
                  <c:v>1.7727530915306487E-3</c:v>
                </c:pt>
                <c:pt idx="3">
                  <c:v>2.4159785873767461E-2</c:v>
                </c:pt>
                <c:pt idx="4">
                  <c:v>6.9803308782366444E-2</c:v>
                </c:pt>
                <c:pt idx="5">
                  <c:v>9.2780718420749475E-2</c:v>
                </c:pt>
                <c:pt idx="6">
                  <c:v>9.2780718420749475E-2</c:v>
                </c:pt>
                <c:pt idx="7">
                  <c:v>0.15570959886322439</c:v>
                </c:pt>
                <c:pt idx="8">
                  <c:v>0.19799426438975382</c:v>
                </c:pt>
                <c:pt idx="9">
                  <c:v>0.26110437870675685</c:v>
                </c:pt>
                <c:pt idx="10">
                  <c:v>0.30338904423328628</c:v>
                </c:pt>
                <c:pt idx="11">
                  <c:v>0.36649915855028931</c:v>
                </c:pt>
                <c:pt idx="12">
                  <c:v>0.40878382407681874</c:v>
                </c:pt>
                <c:pt idx="13">
                  <c:v>0.48130328864443112</c:v>
                </c:pt>
                <c:pt idx="14">
                  <c:v>0.53514503628358889</c:v>
                </c:pt>
                <c:pt idx="15">
                  <c:v>0.55775145503956503</c:v>
                </c:pt>
                <c:pt idx="16">
                  <c:v>0.56716080529017443</c:v>
                </c:pt>
                <c:pt idx="17">
                  <c:v>0.60045382577800532</c:v>
                </c:pt>
                <c:pt idx="18">
                  <c:v>0.61114749102404353</c:v>
                </c:pt>
                <c:pt idx="19">
                  <c:v>0.61114749102404353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65-4BC7-BC5D-E01FA8DABB62}"/>
            </c:ext>
          </c:extLst>
        </c:ser>
        <c:ser>
          <c:idx val="4"/>
          <c:order val="4"/>
          <c:tx>
            <c:v>Projeção</c:v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'CURVA S'!$N$3:$N$39</c:f>
              <c:numCache>
                <c:formatCode>General</c:formatCode>
                <c:ptCount val="37"/>
                <c:pt idx="19" formatCode="0.00%">
                  <c:v>0.61114749102404353</c:v>
                </c:pt>
                <c:pt idx="20" formatCode="0.00%">
                  <c:v>0.63489684371710775</c:v>
                </c:pt>
                <c:pt idx="21" formatCode="0.00%">
                  <c:v>0.6656366058284342</c:v>
                </c:pt>
                <c:pt idx="22" formatCode="0.00%">
                  <c:v>0.70081702467398221</c:v>
                </c:pt>
                <c:pt idx="23" formatCode="0.00%">
                  <c:v>0.71872734030918184</c:v>
                </c:pt>
                <c:pt idx="24" formatCode="0.00%">
                  <c:v>0.77101750625756516</c:v>
                </c:pt>
                <c:pt idx="25" formatCode="0.00%">
                  <c:v>0.79606939312101899</c:v>
                </c:pt>
                <c:pt idx="26" formatCode="0.00%">
                  <c:v>0.82226819529348516</c:v>
                </c:pt>
                <c:pt idx="27" formatCode="0.00%">
                  <c:v>0.83590840808767475</c:v>
                </c:pt>
                <c:pt idx="28" formatCode="0.00%">
                  <c:v>0.85825002977180687</c:v>
                </c:pt>
                <c:pt idx="29" formatCode="0.00%">
                  <c:v>0.8757915635018213</c:v>
                </c:pt>
                <c:pt idx="30" formatCode="0.00%">
                  <c:v>0.91123071287705026</c:v>
                </c:pt>
                <c:pt idx="31" formatCode="0.00%">
                  <c:v>0.94623217198686171</c:v>
                </c:pt>
                <c:pt idx="32" formatCode="0.00%">
                  <c:v>0.96333795726624361</c:v>
                </c:pt>
                <c:pt idx="33" formatCode="0.00%">
                  <c:v>0.97464911961384515</c:v>
                </c:pt>
                <c:pt idx="34" formatCode="0.00%">
                  <c:v>0.98596028196144669</c:v>
                </c:pt>
                <c:pt idx="35" formatCode="0.00%">
                  <c:v>0.99727144430904824</c:v>
                </c:pt>
                <c:pt idx="36" formatCode="0.00%">
                  <c:v>1.0000000068572144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90-45B6-B66A-12E182F4D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672767"/>
        <c:axId val="2115673183"/>
      </c:lineChart>
      <c:catAx>
        <c:axId val="2115672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semanas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115673183"/>
        <c:crosses val="autoZero"/>
        <c:auto val="1"/>
        <c:lblAlgn val="ctr"/>
        <c:lblOffset val="100"/>
        <c:noMultiLvlLbl val="0"/>
      </c:catAx>
      <c:valAx>
        <c:axId val="21156731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%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5672767"/>
        <c:crosses val="autoZero"/>
        <c:crossBetween val="between"/>
      </c:valAx>
      <c:valAx>
        <c:axId val="5808564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% semana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086063"/>
        <c:crosses val="max"/>
        <c:crossBetween val="between"/>
      </c:valAx>
      <c:catAx>
        <c:axId val="58086063"/>
        <c:scaling>
          <c:orientation val="minMax"/>
        </c:scaling>
        <c:delete val="1"/>
        <c:axPos val="b"/>
        <c:majorTickMark val="out"/>
        <c:minorTickMark val="none"/>
        <c:tickLblPos val="nextTo"/>
        <c:crossAx val="58085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4.png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4</xdr:row>
      <xdr:rowOff>47625</xdr:rowOff>
    </xdr:from>
    <xdr:to>
      <xdr:col>6</xdr:col>
      <xdr:colOff>123825</xdr:colOff>
      <xdr:row>9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</xdr:row>
      <xdr:rowOff>0</xdr:rowOff>
    </xdr:from>
    <xdr:to>
      <xdr:col>6</xdr:col>
      <xdr:colOff>82429</xdr:colOff>
      <xdr:row>4</xdr:row>
      <xdr:rowOff>55721</xdr:rowOff>
    </xdr:to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219200" y="571500"/>
          <a:ext cx="2520829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DURAÇÃO DECORRIDA</a:t>
          </a:r>
        </a:p>
      </xdr:txBody>
    </xdr:sp>
    <xdr:clientData/>
  </xdr:twoCellAnchor>
  <xdr:twoCellAnchor>
    <xdr:from>
      <xdr:col>1</xdr:col>
      <xdr:colOff>438149</xdr:colOff>
      <xdr:row>12</xdr:row>
      <xdr:rowOff>0</xdr:rowOff>
    </xdr:from>
    <xdr:to>
      <xdr:col>5</xdr:col>
      <xdr:colOff>581024</xdr:colOff>
      <xdr:row>14</xdr:row>
      <xdr:rowOff>66045</xdr:rowOff>
    </xdr:to>
    <xdr:sp macro="" textlink="">
      <xdr:nvSpPr>
        <xdr:cNvPr id="4" name="CaixaDeTexto 3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47749" y="2286000"/>
          <a:ext cx="2581275" cy="4470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Executado x Planejado</a:t>
          </a:r>
        </a:p>
      </xdr:txBody>
    </xdr:sp>
    <xdr:clientData/>
  </xdr:twoCellAnchor>
  <xdr:twoCellAnchor>
    <xdr:from>
      <xdr:col>7</xdr:col>
      <xdr:colOff>171450</xdr:colOff>
      <xdr:row>2</xdr:row>
      <xdr:rowOff>142875</xdr:rowOff>
    </xdr:from>
    <xdr:to>
      <xdr:col>10</xdr:col>
      <xdr:colOff>548126</xdr:colOff>
      <xdr:row>4</xdr:row>
      <xdr:rowOff>38874</xdr:rowOff>
    </xdr:to>
    <xdr:sp macro="" textlink="">
      <xdr:nvSpPr>
        <xdr:cNvPr id="5" name="CaixaDeTexto 3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4438650" y="523875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 PRAZO %</a:t>
          </a:r>
        </a:p>
      </xdr:txBody>
    </xdr:sp>
    <xdr:clientData/>
  </xdr:twoCellAnchor>
  <xdr:twoCellAnchor>
    <xdr:from>
      <xdr:col>7</xdr:col>
      <xdr:colOff>190500</xdr:colOff>
      <xdr:row>8</xdr:row>
      <xdr:rowOff>95250</xdr:rowOff>
    </xdr:from>
    <xdr:to>
      <xdr:col>10</xdr:col>
      <xdr:colOff>567176</xdr:colOff>
      <xdr:row>9</xdr:row>
      <xdr:rowOff>181749</xdr:rowOff>
    </xdr:to>
    <xdr:sp macro="" textlink="">
      <xdr:nvSpPr>
        <xdr:cNvPr id="6" name="CaixaDeTexto 3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457700" y="1619250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Executado</a:t>
          </a:r>
        </a:p>
      </xdr:txBody>
    </xdr:sp>
    <xdr:clientData/>
  </xdr:twoCellAnchor>
  <xdr:twoCellAnchor>
    <xdr:from>
      <xdr:col>7</xdr:col>
      <xdr:colOff>104775</xdr:colOff>
      <xdr:row>15</xdr:row>
      <xdr:rowOff>85725</xdr:rowOff>
    </xdr:from>
    <xdr:to>
      <xdr:col>10</xdr:col>
      <xdr:colOff>481451</xdr:colOff>
      <xdr:row>16</xdr:row>
      <xdr:rowOff>172224</xdr:rowOff>
    </xdr:to>
    <xdr:sp macro="" textlink="">
      <xdr:nvSpPr>
        <xdr:cNvPr id="7" name="CaixaDeTexto 3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4371975" y="2752725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Status – Desvio de Prazo</a:t>
          </a:r>
        </a:p>
      </xdr:txBody>
    </xdr:sp>
    <xdr:clientData/>
  </xdr:twoCellAnchor>
  <xdr:twoCellAnchor>
    <xdr:from>
      <xdr:col>1</xdr:col>
      <xdr:colOff>152401</xdr:colOff>
      <xdr:row>14</xdr:row>
      <xdr:rowOff>85726</xdr:rowOff>
    </xdr:from>
    <xdr:to>
      <xdr:col>6</xdr:col>
      <xdr:colOff>47625</xdr:colOff>
      <xdr:row>23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356153</xdr:colOff>
      <xdr:row>3</xdr:row>
      <xdr:rowOff>85725</xdr:rowOff>
    </xdr:from>
    <xdr:to>
      <xdr:col>25</xdr:col>
      <xdr:colOff>504827</xdr:colOff>
      <xdr:row>12</xdr:row>
      <xdr:rowOff>180975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209550</xdr:colOff>
      <xdr:row>2</xdr:row>
      <xdr:rowOff>28575</xdr:rowOff>
    </xdr:from>
    <xdr:to>
      <xdr:col>15</xdr:col>
      <xdr:colOff>586226</xdr:colOff>
      <xdr:row>3</xdr:row>
      <xdr:rowOff>115074</xdr:rowOff>
    </xdr:to>
    <xdr:sp macro="" textlink="">
      <xdr:nvSpPr>
        <xdr:cNvPr id="10" name="CaixaDeTexto 42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7524750" y="409575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Curva S – Progresso Físico</a:t>
          </a:r>
        </a:p>
      </xdr:txBody>
    </xdr:sp>
    <xdr:clientData/>
  </xdr:twoCellAnchor>
  <xdr:twoCellAnchor>
    <xdr:from>
      <xdr:col>12</xdr:col>
      <xdr:colOff>228600</xdr:colOff>
      <xdr:row>13</xdr:row>
      <xdr:rowOff>104775</xdr:rowOff>
    </xdr:from>
    <xdr:to>
      <xdr:col>15</xdr:col>
      <xdr:colOff>605276</xdr:colOff>
      <xdr:row>15</xdr:row>
      <xdr:rowOff>774</xdr:rowOff>
    </xdr:to>
    <xdr:sp macro="" textlink="">
      <xdr:nvSpPr>
        <xdr:cNvPr id="11" name="CaixaDeTexto 4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7543800" y="2581275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Histórico de Indicadores</a:t>
          </a:r>
        </a:p>
      </xdr:txBody>
    </xdr:sp>
    <xdr:clientData/>
  </xdr:twoCellAnchor>
  <xdr:twoCellAnchor>
    <xdr:from>
      <xdr:col>11</xdr:col>
      <xdr:colOff>538369</xdr:colOff>
      <xdr:row>14</xdr:row>
      <xdr:rowOff>157370</xdr:rowOff>
    </xdr:from>
    <xdr:to>
      <xdr:col>25</xdr:col>
      <xdr:colOff>521804</xdr:colOff>
      <xdr:row>22</xdr:row>
      <xdr:rowOff>161925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194421</xdr:colOff>
      <xdr:row>33</xdr:row>
      <xdr:rowOff>85726</xdr:rowOff>
    </xdr:from>
    <xdr:to>
      <xdr:col>10</xdr:col>
      <xdr:colOff>571097</xdr:colOff>
      <xdr:row>34</xdr:row>
      <xdr:rowOff>181010</xdr:rowOff>
    </xdr:to>
    <xdr:sp macro="" textlink="">
      <xdr:nvSpPr>
        <xdr:cNvPr id="18" name="CaixaDeTexto 36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4430245" y="6372226"/>
          <a:ext cx="2192028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do Mês</a:t>
          </a:r>
        </a:p>
      </xdr:txBody>
    </xdr:sp>
    <xdr:clientData/>
  </xdr:twoCellAnchor>
  <xdr:twoCellAnchor>
    <xdr:from>
      <xdr:col>1</xdr:col>
      <xdr:colOff>186018</xdr:colOff>
      <xdr:row>29</xdr:row>
      <xdr:rowOff>141755</xdr:rowOff>
    </xdr:from>
    <xdr:to>
      <xdr:col>6</xdr:col>
      <xdr:colOff>81242</xdr:colOff>
      <xdr:row>38</xdr:row>
      <xdr:rowOff>141755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414617</xdr:colOff>
      <xdr:row>28</xdr:row>
      <xdr:rowOff>22412</xdr:rowOff>
    </xdr:from>
    <xdr:to>
      <xdr:col>6</xdr:col>
      <xdr:colOff>357830</xdr:colOff>
      <xdr:row>29</xdr:row>
      <xdr:rowOff>93458</xdr:rowOff>
    </xdr:to>
    <xdr:sp macro="" textlink="">
      <xdr:nvSpPr>
        <xdr:cNvPr id="24" name="CaixaDeTexto 39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/>
      </xdr:nvSpPr>
      <xdr:spPr>
        <a:xfrm>
          <a:off x="1019735" y="5356412"/>
          <a:ext cx="2968801" cy="26154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05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- Executado x Planejado (Mês</a:t>
          </a:r>
          <a:r>
            <a:rPr kumimoji="0" lang="pt-BR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)</a:t>
          </a:r>
        </a:p>
      </xdr:txBody>
    </xdr:sp>
    <xdr:clientData/>
  </xdr:twoCellAnchor>
  <xdr:twoCellAnchor>
    <xdr:from>
      <xdr:col>7</xdr:col>
      <xdr:colOff>89647</xdr:colOff>
      <xdr:row>27</xdr:row>
      <xdr:rowOff>123265</xdr:rowOff>
    </xdr:from>
    <xdr:to>
      <xdr:col>10</xdr:col>
      <xdr:colOff>479771</xdr:colOff>
      <xdr:row>30</xdr:row>
      <xdr:rowOff>13430</xdr:rowOff>
    </xdr:to>
    <xdr:sp macro="" textlink="">
      <xdr:nvSpPr>
        <xdr:cNvPr id="25" name="CaixaDeTexto 29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/>
      </xdr:nvSpPr>
      <xdr:spPr>
        <a:xfrm>
          <a:off x="4325471" y="5266765"/>
          <a:ext cx="2205476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PRAZO MENSAL %</a:t>
          </a:r>
        </a:p>
      </xdr:txBody>
    </xdr:sp>
    <xdr:clientData/>
  </xdr:twoCellAnchor>
  <xdr:twoCellAnchor>
    <xdr:from>
      <xdr:col>12</xdr:col>
      <xdr:colOff>556291</xdr:colOff>
      <xdr:row>27</xdr:row>
      <xdr:rowOff>146476</xdr:rowOff>
    </xdr:from>
    <xdr:to>
      <xdr:col>17</xdr:col>
      <xdr:colOff>220114</xdr:colOff>
      <xdr:row>29</xdr:row>
      <xdr:rowOff>51260</xdr:rowOff>
    </xdr:to>
    <xdr:sp macro="" textlink="">
      <xdr:nvSpPr>
        <xdr:cNvPr id="26" name="CaixaDeTexto 40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/>
      </xdr:nvSpPr>
      <xdr:spPr>
        <a:xfrm>
          <a:off x="7904148" y="5507690"/>
          <a:ext cx="2725430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Terminalidade e Aderência ao Lote </a:t>
          </a:r>
        </a:p>
      </xdr:txBody>
    </xdr:sp>
    <xdr:clientData/>
  </xdr:twoCellAnchor>
  <xdr:twoCellAnchor>
    <xdr:from>
      <xdr:col>19</xdr:col>
      <xdr:colOff>571500</xdr:colOff>
      <xdr:row>27</xdr:row>
      <xdr:rowOff>123265</xdr:rowOff>
    </xdr:from>
    <xdr:to>
      <xdr:col>23</xdr:col>
      <xdr:colOff>356505</xdr:colOff>
      <xdr:row>29</xdr:row>
      <xdr:rowOff>28049</xdr:rowOff>
    </xdr:to>
    <xdr:sp macro="" textlink="">
      <xdr:nvSpPr>
        <xdr:cNvPr id="27" name="CaixaDeTexto 1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/>
      </xdr:nvSpPr>
      <xdr:spPr>
        <a:xfrm>
          <a:off x="12068735" y="5266765"/>
          <a:ext cx="2205476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Análise Semanal – PPC %</a:t>
          </a:r>
        </a:p>
      </xdr:txBody>
    </xdr:sp>
    <xdr:clientData/>
  </xdr:twoCellAnchor>
  <xdr:twoCellAnchor>
    <xdr:from>
      <xdr:col>18</xdr:col>
      <xdr:colOff>358588</xdr:colOff>
      <xdr:row>29</xdr:row>
      <xdr:rowOff>112059</xdr:rowOff>
    </xdr:from>
    <xdr:to>
      <xdr:col>25</xdr:col>
      <xdr:colOff>302559</xdr:colOff>
      <xdr:row>37</xdr:row>
      <xdr:rowOff>112619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89646</xdr:colOff>
      <xdr:row>29</xdr:row>
      <xdr:rowOff>179294</xdr:rowOff>
    </xdr:from>
    <xdr:to>
      <xdr:col>17</xdr:col>
      <xdr:colOff>560293</xdr:colOff>
      <xdr:row>38</xdr:row>
      <xdr:rowOff>179294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27</xdr:col>
      <xdr:colOff>324971</xdr:colOff>
      <xdr:row>3</xdr:row>
      <xdr:rowOff>153522</xdr:rowOff>
    </xdr:from>
    <xdr:to>
      <xdr:col>29</xdr:col>
      <xdr:colOff>350612</xdr:colOff>
      <xdr:row>19</xdr:row>
      <xdr:rowOff>102696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E66C5BE-1C0B-4682-9C03-D6F16853D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663147" y="781051"/>
          <a:ext cx="3297759" cy="2997174"/>
        </a:xfrm>
        <a:prstGeom prst="rect">
          <a:avLst/>
        </a:prstGeom>
      </xdr:spPr>
    </xdr:pic>
    <xdr:clientData/>
  </xdr:twoCellAnchor>
  <xdr:twoCellAnchor editAs="oneCell">
    <xdr:from>
      <xdr:col>29</xdr:col>
      <xdr:colOff>638567</xdr:colOff>
      <xdr:row>3</xdr:row>
      <xdr:rowOff>118463</xdr:rowOff>
    </xdr:from>
    <xdr:to>
      <xdr:col>31</xdr:col>
      <xdr:colOff>1102179</xdr:colOff>
      <xdr:row>19</xdr:row>
      <xdr:rowOff>142160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885C91DB-1052-46E5-AD89-2B9EA8940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436960" y="744392"/>
          <a:ext cx="3729326" cy="3071697"/>
        </a:xfrm>
        <a:prstGeom prst="rect">
          <a:avLst/>
        </a:prstGeom>
      </xdr:spPr>
    </xdr:pic>
    <xdr:clientData/>
  </xdr:twoCellAnchor>
  <xdr:twoCellAnchor editAs="oneCell">
    <xdr:from>
      <xdr:col>29</xdr:col>
      <xdr:colOff>870856</xdr:colOff>
      <xdr:row>23</xdr:row>
      <xdr:rowOff>27214</xdr:rowOff>
    </xdr:from>
    <xdr:to>
      <xdr:col>31</xdr:col>
      <xdr:colOff>1360713</xdr:colOff>
      <xdr:row>38</xdr:row>
      <xdr:rowOff>96193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CF049EF-9CB6-4811-A3F7-2D1746364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669249" y="4463143"/>
          <a:ext cx="3755571" cy="2980907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381000</xdr:colOff>
      <xdr:row>23</xdr:row>
      <xdr:rowOff>40820</xdr:rowOff>
    </xdr:from>
    <xdr:to>
      <xdr:col>29</xdr:col>
      <xdr:colOff>531950</xdr:colOff>
      <xdr:row>38</xdr:row>
      <xdr:rowOff>81642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1E2CD745-C29D-48CE-BBEF-505445128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913679" y="4476749"/>
          <a:ext cx="3416664" cy="2952750"/>
        </a:xfrm>
        <a:prstGeom prst="rect">
          <a:avLst/>
        </a:prstGeom>
      </xdr:spPr>
    </xdr:pic>
    <xdr:clientData/>
  </xdr:twoCellAnchor>
  <xdr:twoCellAnchor editAs="oneCell">
    <xdr:from>
      <xdr:col>27</xdr:col>
      <xdr:colOff>176892</xdr:colOff>
      <xdr:row>42</xdr:row>
      <xdr:rowOff>27215</xdr:rowOff>
    </xdr:from>
    <xdr:to>
      <xdr:col>31</xdr:col>
      <xdr:colOff>1302607</xdr:colOff>
      <xdr:row>64</xdr:row>
      <xdr:rowOff>17167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A1012C1E-FD8F-4767-8F65-AB9D8DE6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709571" y="8137072"/>
          <a:ext cx="7657143" cy="4180952"/>
        </a:xfrm>
        <a:prstGeom prst="rect">
          <a:avLst/>
        </a:prstGeom>
      </xdr:spPr>
    </xdr:pic>
    <xdr:clientData/>
  </xdr:twoCellAnchor>
  <xdr:twoCellAnchor>
    <xdr:from>
      <xdr:col>30</xdr:col>
      <xdr:colOff>1288677</xdr:colOff>
      <xdr:row>44</xdr:row>
      <xdr:rowOff>56030</xdr:rowOff>
    </xdr:from>
    <xdr:to>
      <xdr:col>30</xdr:col>
      <xdr:colOff>1344706</xdr:colOff>
      <xdr:row>63</xdr:row>
      <xdr:rowOff>123265</xdr:rowOff>
    </xdr:to>
    <xdr:cxnSp macro="">
      <xdr:nvCxnSpPr>
        <xdr:cNvPr id="21" name="Conector reto 20">
          <a:extLst>
            <a:ext uri="{FF2B5EF4-FFF2-40B4-BE49-F238E27FC236}">
              <a16:creationId xmlns:a16="http://schemas.microsoft.com/office/drawing/2014/main" id="{8C4353E2-4876-4C12-870B-C8F17FBD67A2}"/>
            </a:ext>
          </a:extLst>
        </xdr:cNvPr>
        <xdr:cNvCxnSpPr/>
      </xdr:nvCxnSpPr>
      <xdr:spPr>
        <a:xfrm>
          <a:off x="22535030" y="8550089"/>
          <a:ext cx="56029" cy="3686735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352425</xdr:colOff>
      <xdr:row>6</xdr:row>
      <xdr:rowOff>33337</xdr:rowOff>
    </xdr:from>
    <xdr:to>
      <xdr:col>28</xdr:col>
      <xdr:colOff>276225</xdr:colOff>
      <xdr:row>19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73839E-1A87-4728-BC94-39E68D1BC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270542</xdr:colOff>
      <xdr:row>0</xdr:row>
      <xdr:rowOff>13608</xdr:rowOff>
    </xdr:from>
    <xdr:to>
      <xdr:col>40</xdr:col>
      <xdr:colOff>454239</xdr:colOff>
      <xdr:row>21</xdr:row>
      <xdr:rowOff>149678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220114</xdr:colOff>
      <xdr:row>23</xdr:row>
      <xdr:rowOff>120063</xdr:rowOff>
    </xdr:from>
    <xdr:to>
      <xdr:col>40</xdr:col>
      <xdr:colOff>267340</xdr:colOff>
      <xdr:row>35</xdr:row>
      <xdr:rowOff>174971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100853</xdr:colOff>
      <xdr:row>3</xdr:row>
      <xdr:rowOff>100853</xdr:rowOff>
    </xdr:from>
    <xdr:to>
      <xdr:col>5</xdr:col>
      <xdr:colOff>490976</xdr:colOff>
      <xdr:row>4</xdr:row>
      <xdr:rowOff>187352</xdr:rowOff>
    </xdr:to>
    <xdr:sp macro="" textlink="">
      <xdr:nvSpPr>
        <xdr:cNvPr id="19" name="CaixaDeTexto 35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1311088" y="728382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Executado</a:t>
          </a:r>
        </a:p>
      </xdr:txBody>
    </xdr:sp>
    <xdr:clientData/>
  </xdr:twoCellAnchor>
  <xdr:twoCellAnchor>
    <xdr:from>
      <xdr:col>1</xdr:col>
      <xdr:colOff>535782</xdr:colOff>
      <xdr:row>8</xdr:row>
      <xdr:rowOff>129805</xdr:rowOff>
    </xdr:from>
    <xdr:to>
      <xdr:col>6</xdr:col>
      <xdr:colOff>0</xdr:colOff>
      <xdr:row>10</xdr:row>
      <xdr:rowOff>10777</xdr:rowOff>
    </xdr:to>
    <xdr:sp macro="" textlink="">
      <xdr:nvSpPr>
        <xdr:cNvPr id="21" name="CaixaDeTexto 63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/>
      </xdr:nvSpPr>
      <xdr:spPr>
        <a:xfrm>
          <a:off x="1143001" y="1725243"/>
          <a:ext cx="2500312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Financeiro Executado</a:t>
          </a:r>
        </a:p>
      </xdr:txBody>
    </xdr:sp>
    <xdr:clientData/>
  </xdr:twoCellAnchor>
  <xdr:twoCellAnchor>
    <xdr:from>
      <xdr:col>6</xdr:col>
      <xdr:colOff>403412</xdr:colOff>
      <xdr:row>15</xdr:row>
      <xdr:rowOff>123267</xdr:rowOff>
    </xdr:from>
    <xdr:to>
      <xdr:col>11</xdr:col>
      <xdr:colOff>168089</xdr:colOff>
      <xdr:row>25</xdr:row>
      <xdr:rowOff>67237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544045</xdr:colOff>
      <xdr:row>13</xdr:row>
      <xdr:rowOff>148478</xdr:rowOff>
    </xdr:from>
    <xdr:to>
      <xdr:col>11</xdr:col>
      <xdr:colOff>331133</xdr:colOff>
      <xdr:row>16</xdr:row>
      <xdr:rowOff>67418</xdr:rowOff>
    </xdr:to>
    <xdr:sp macro="" textlink="">
      <xdr:nvSpPr>
        <xdr:cNvPr id="24" name="CaixaDeTexto 4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4201645" y="2729753"/>
          <a:ext cx="2835088" cy="4904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Desembolso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Agregado x  Executado</a:t>
          </a:r>
        </a:p>
      </xdr:txBody>
    </xdr:sp>
    <xdr:clientData/>
  </xdr:twoCellAnchor>
  <xdr:twoCellAnchor>
    <xdr:from>
      <xdr:col>1</xdr:col>
      <xdr:colOff>324970</xdr:colOff>
      <xdr:row>15</xdr:row>
      <xdr:rowOff>56029</xdr:rowOff>
    </xdr:from>
    <xdr:to>
      <xdr:col>6</xdr:col>
      <xdr:colOff>156881</xdr:colOff>
      <xdr:row>25</xdr:row>
      <xdr:rowOff>67235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201706</xdr:colOff>
      <xdr:row>14</xdr:row>
      <xdr:rowOff>22410</xdr:rowOff>
    </xdr:from>
    <xdr:to>
      <xdr:col>5</xdr:col>
      <xdr:colOff>591829</xdr:colOff>
      <xdr:row>15</xdr:row>
      <xdr:rowOff>120644</xdr:rowOff>
    </xdr:to>
    <xdr:sp macro="" textlink="">
      <xdr:nvSpPr>
        <xdr:cNvPr id="26" name="CaixaDeTexto 34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/>
      </xdr:nvSpPr>
      <xdr:spPr>
        <a:xfrm>
          <a:off x="1411941" y="2801469"/>
          <a:ext cx="2205476" cy="28873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Executado</a:t>
          </a:r>
          <a:b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</a:b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Físico  x Financeiro</a:t>
          </a:r>
        </a:p>
      </xdr:txBody>
    </xdr:sp>
    <xdr:clientData/>
  </xdr:twoCellAnchor>
  <xdr:twoCellAnchor>
    <xdr:from>
      <xdr:col>7</xdr:col>
      <xdr:colOff>98750</xdr:colOff>
      <xdr:row>8</xdr:row>
      <xdr:rowOff>146377</xdr:rowOff>
    </xdr:from>
    <xdr:to>
      <xdr:col>10</xdr:col>
      <xdr:colOff>488874</xdr:colOff>
      <xdr:row>10</xdr:row>
      <xdr:rowOff>27349</xdr:rowOff>
    </xdr:to>
    <xdr:sp macro="" textlink="">
      <xdr:nvSpPr>
        <xdr:cNvPr id="27" name="CaixaDeTexto 39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/>
      </xdr:nvSpPr>
      <xdr:spPr>
        <a:xfrm>
          <a:off x="4349281" y="1741815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Financeiro Agregado</a:t>
          </a:r>
        </a:p>
      </xdr:txBody>
    </xdr:sp>
    <xdr:clientData/>
  </xdr:twoCellAnchor>
  <xdr:twoCellAnchor>
    <xdr:from>
      <xdr:col>12</xdr:col>
      <xdr:colOff>33618</xdr:colOff>
      <xdr:row>3</xdr:row>
      <xdr:rowOff>123265</xdr:rowOff>
    </xdr:from>
    <xdr:to>
      <xdr:col>16</xdr:col>
      <xdr:colOff>0</xdr:colOff>
      <xdr:row>5</xdr:row>
      <xdr:rowOff>28049</xdr:rowOff>
    </xdr:to>
    <xdr:sp macro="" textlink="">
      <xdr:nvSpPr>
        <xdr:cNvPr id="35" name="CaixaDeTexto 55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/>
      </xdr:nvSpPr>
      <xdr:spPr>
        <a:xfrm>
          <a:off x="7295030" y="750794"/>
          <a:ext cx="2386852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 de Custo</a:t>
          </a:r>
        </a:p>
      </xdr:txBody>
    </xdr:sp>
    <xdr:clientData/>
  </xdr:twoCellAnchor>
  <xdr:twoCellAnchor>
    <xdr:from>
      <xdr:col>1</xdr:col>
      <xdr:colOff>112058</xdr:colOff>
      <xdr:row>30</xdr:row>
      <xdr:rowOff>179295</xdr:rowOff>
    </xdr:from>
    <xdr:to>
      <xdr:col>23</xdr:col>
      <xdr:colOff>493059</xdr:colOff>
      <xdr:row>41</xdr:row>
      <xdr:rowOff>11207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235324</xdr:colOff>
      <xdr:row>16</xdr:row>
      <xdr:rowOff>11205</xdr:rowOff>
    </xdr:from>
    <xdr:to>
      <xdr:col>16</xdr:col>
      <xdr:colOff>179295</xdr:colOff>
      <xdr:row>24</xdr:row>
      <xdr:rowOff>100852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t="10638"/>
        <a:stretch/>
      </xdr:blipFill>
      <xdr:spPr>
        <a:xfrm>
          <a:off x="6891618" y="3171264"/>
          <a:ext cx="2969559" cy="1613647"/>
        </a:xfrm>
        <a:prstGeom prst="rect">
          <a:avLst/>
        </a:prstGeom>
      </xdr:spPr>
    </xdr:pic>
    <xdr:clientData/>
  </xdr:twoCellAnchor>
  <xdr:twoCellAnchor editAs="oneCell">
    <xdr:from>
      <xdr:col>18</xdr:col>
      <xdr:colOff>246529</xdr:colOff>
      <xdr:row>16</xdr:row>
      <xdr:rowOff>112061</xdr:rowOff>
    </xdr:from>
    <xdr:to>
      <xdr:col>23</xdr:col>
      <xdr:colOff>336177</xdr:colOff>
      <xdr:row>24</xdr:row>
      <xdr:rowOff>147725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/>
      </xdr:nvPicPr>
      <xdr:blipFill rotWithShape="1">
        <a:blip xmlns:r="http://schemas.openxmlformats.org/officeDocument/2006/relationships" r:embed="rId5"/>
        <a:srcRect t="10638"/>
        <a:stretch/>
      </xdr:blipFill>
      <xdr:spPr>
        <a:xfrm>
          <a:off x="10544735" y="3272120"/>
          <a:ext cx="3115236" cy="1559664"/>
        </a:xfrm>
        <a:prstGeom prst="rect">
          <a:avLst/>
        </a:prstGeom>
      </xdr:spPr>
    </xdr:pic>
    <xdr:clientData/>
  </xdr:twoCellAnchor>
  <xdr:twoCellAnchor>
    <xdr:from>
      <xdr:col>7</xdr:col>
      <xdr:colOff>-1</xdr:colOff>
      <xdr:row>3</xdr:row>
      <xdr:rowOff>118781</xdr:rowOff>
    </xdr:from>
    <xdr:to>
      <xdr:col>11</xdr:col>
      <xdr:colOff>27051</xdr:colOff>
      <xdr:row>5</xdr:row>
      <xdr:rowOff>44822</xdr:rowOff>
    </xdr:to>
    <xdr:sp macro="" textlink="">
      <xdr:nvSpPr>
        <xdr:cNvPr id="39" name="CaixaDeTexto 39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/>
      </xdr:nvSpPr>
      <xdr:spPr>
        <a:xfrm>
          <a:off x="4235823" y="746310"/>
          <a:ext cx="2447522" cy="3070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Desembolso (CUSTO) Acumulado</a:t>
          </a:r>
        </a:p>
      </xdr:txBody>
    </xdr:sp>
    <xdr:clientData/>
  </xdr:twoCellAnchor>
  <xdr:twoCellAnchor>
    <xdr:from>
      <xdr:col>12</xdr:col>
      <xdr:colOff>36837</xdr:colOff>
      <xdr:row>8</xdr:row>
      <xdr:rowOff>132089</xdr:rowOff>
    </xdr:from>
    <xdr:to>
      <xdr:col>15</xdr:col>
      <xdr:colOff>426962</xdr:colOff>
      <xdr:row>10</xdr:row>
      <xdr:rowOff>13061</xdr:rowOff>
    </xdr:to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/>
      </xdr:nvSpPr>
      <xdr:spPr>
        <a:xfrm>
          <a:off x="7323462" y="1727527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(R$) Desvio de Custo </a:t>
          </a:r>
        </a:p>
      </xdr:txBody>
    </xdr:sp>
    <xdr:clientData/>
  </xdr:twoCellAnchor>
  <xdr:twoCellAnchor>
    <xdr:from>
      <xdr:col>19</xdr:col>
      <xdr:colOff>44123</xdr:colOff>
      <xdr:row>3</xdr:row>
      <xdr:rowOff>107857</xdr:rowOff>
    </xdr:from>
    <xdr:to>
      <xdr:col>23</xdr:col>
      <xdr:colOff>10505</xdr:colOff>
      <xdr:row>5</xdr:row>
      <xdr:rowOff>12641</xdr:rowOff>
    </xdr:to>
    <xdr:sp macro="" textlink="">
      <xdr:nvSpPr>
        <xdr:cNvPr id="41" name="CaixaDeTexto 55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/>
      </xdr:nvSpPr>
      <xdr:spPr>
        <a:xfrm>
          <a:off x="10985967" y="738888"/>
          <a:ext cx="2395257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 de Custo</a:t>
          </a:r>
        </a:p>
      </xdr:txBody>
    </xdr:sp>
    <xdr:clientData/>
  </xdr:twoCellAnchor>
  <xdr:twoCellAnchor>
    <xdr:from>
      <xdr:col>19</xdr:col>
      <xdr:colOff>58268</xdr:colOff>
      <xdr:row>8</xdr:row>
      <xdr:rowOff>129708</xdr:rowOff>
    </xdr:from>
    <xdr:to>
      <xdr:col>22</xdr:col>
      <xdr:colOff>448393</xdr:colOff>
      <xdr:row>10</xdr:row>
      <xdr:rowOff>10680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/>
      </xdr:nvSpPr>
      <xdr:spPr>
        <a:xfrm>
          <a:off x="11000112" y="1725146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(R$) Desvio de Custo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XO%20-planejado%20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 -planejado (2)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461.582866898148" createdVersion="7" refreshedVersion="7" minRefreshableVersion="3" recordCount="124" xr:uid="{22265327-4E5C-4D07-BD76-02784FB016A4}">
  <cacheSource type="worksheet">
    <worksheetSource ref="A1:AM125" sheet="BASE DE DADOS"/>
  </cacheSource>
  <cacheFields count="35">
    <cacheField name="Código" numFmtId="0">
      <sharedItems containsMixedTypes="1" containsNumber="1" containsInteger="1" minValue="1" maxValue="3"/>
    </cacheField>
    <cacheField name="Nome" numFmtId="0">
      <sharedItems count="46">
        <s v="ESTRUTURA/ACABAMENTOS"/>
        <s v="FUND"/>
        <s v="Locação e Gabarito"/>
        <s v="Estacas"/>
        <s v="Vigas Baldrames"/>
        <s v="Instalações Enterradas"/>
        <s v="Contrapiso"/>
        <s v="PAV1"/>
        <s v="Alvenaria Estrutural"/>
        <s v="Estrutura Moldado in Loco"/>
        <s v="Instalações Hidrossanitárias"/>
        <s v="Reboco Interno"/>
        <s v="Shaft "/>
        <s v="Impermeabilização"/>
        <s v="Cerâmica"/>
        <s v="Gesso Liso"/>
        <s v="Esquadria "/>
        <s v="Fiação"/>
        <s v="Forro"/>
        <s v="Rev. da Circulação"/>
        <s v="Disjuntores e CD"/>
        <s v="Pintura Interna - 1ªdmão"/>
        <s v="Louças"/>
        <s v="Portas de Madeira"/>
        <s v="Esquadria de Ferro Circulação"/>
        <s v="Piso Laminado + Rodapé"/>
        <s v="Metais"/>
        <s v="Acabamentos Elétricos"/>
        <s v="Pintura Final"/>
        <s v="Complementação e Limpeza"/>
        <s v="PAV2"/>
        <s v="PAV3"/>
        <s v="PAV4"/>
        <s v="COB"/>
        <s v="Impermeabilização do Telhado"/>
        <s v="Telhado"/>
        <s v="Algerosas + Rufos"/>
        <s v="FACHADA"/>
        <s v="PANO 1"/>
        <s v="Reboco Externo"/>
        <s v="Pintura Externa "/>
        <s v="PANO 2"/>
        <s v="PANO 3"/>
        <s v="PANO 4"/>
        <s v="PANO 5"/>
        <s v="PANO 6"/>
      </sharedItems>
    </cacheField>
    <cacheField name="Nome 2" numFmtId="0">
      <sharedItems containsBlank="1" count="34">
        <m/>
        <s v="01.Locação e Gabarito"/>
        <s v="02.Estacas"/>
        <s v="03.Vigas Baldrames"/>
        <s v="04.Instalações Enterradas"/>
        <s v="05.Contrapiso"/>
        <s v="06.Alvenaria Estrutural"/>
        <s v="07.Estrutura Moldado in Loco"/>
        <s v="08.Instalações"/>
        <s v="09.Reboco Interno"/>
        <s v="10.Shaft "/>
        <s v="11.Impermeabilização do WC"/>
        <s v="12.Cerâmica"/>
        <s v="13.Gesso Liso"/>
        <s v="14.Esquadria de Aluminio"/>
        <s v="15.Fiação"/>
        <s v="16.Forro"/>
        <s v="17.Revestimento da Circulação"/>
        <s v="18.Disjuntores e CD"/>
        <s v="19.Pintura Interna - 1ªdmão"/>
        <s v="20.Louças"/>
        <s v="21.Portas de Madeira"/>
        <s v="22.Esquadria de Ferro"/>
        <s v="23.Piso Vinilico"/>
        <s v="24.Metais"/>
        <s v="25.Acabamentos Elétricos"/>
        <s v="26.Pintura Final"/>
        <s v="27.Complementação e Limpeza"/>
        <s v="28.Instalações Cob"/>
        <s v="29.Impermeabilização do Telhado"/>
        <s v="30.Telhado"/>
        <s v="31.Algerosas + Rufos"/>
        <s v="32.Reboco Externo"/>
        <s v="33.Pintura Externa"/>
      </sharedItems>
    </cacheField>
    <cacheField name="código2" numFmtId="0">
      <sharedItems/>
    </cacheField>
    <cacheField name="Macro Etapa" numFmtId="0">
      <sharedItems containsBlank="1" count="2">
        <m/>
        <s v="GERAL"/>
      </sharedItems>
    </cacheField>
    <cacheField name="Rede" numFmtId="0">
      <sharedItems containsBlank="1"/>
    </cacheField>
    <cacheField name="Duração" numFmtId="168">
      <sharedItems containsSemiMixedTypes="0" containsString="0" containsNumber="1" containsInteger="1" minValue="2" maxValue="185"/>
    </cacheField>
    <cacheField name="Planej. Inicial" numFmtId="14">
      <sharedItems containsSemiMixedTypes="0" containsNonDate="0" containsDate="1" containsString="0" minDate="2021-08-16T00:00:00" maxDate="2022-04-28T00:00:00"/>
    </cacheField>
    <cacheField name="Planej. Final" numFmtId="14">
      <sharedItems containsSemiMixedTypes="0" containsNonDate="0" containsDate="1" containsString="0" minDate="2021-08-20T00:00:00" maxDate="2022-04-30T00:00:00"/>
    </cacheField>
    <cacheField name="Início" numFmtId="14">
      <sharedItems containsNonDate="0" containsDate="1" containsString="0" containsBlank="1" minDate="2021-08-16T00:00:00" maxDate="2021-12-30T00:00:00"/>
    </cacheField>
    <cacheField name="Fim" numFmtId="14">
      <sharedItems containsNonDate="0" containsDate="1" containsString="0" containsBlank="1" minDate="2021-08-20T00:00:00" maxDate="2021-12-25T00:00:00"/>
    </cacheField>
    <cacheField name=" Custo " numFmtId="0">
      <sharedItems containsString="0" containsBlank="1" containsNumber="1" minValue="0" maxValue="96851.74"/>
    </cacheField>
    <cacheField name="Custo M.O" numFmtId="8">
      <sharedItems containsSemiMixedTypes="0" containsString="0" containsNumber="1" containsInteger="1" minValue="0" maxValue="0"/>
    </cacheField>
    <cacheField name="Equipe" numFmtId="0">
      <sharedItems containsNonDate="0" containsString="0" containsBlank="1"/>
    </cacheField>
    <cacheField name="Recursos da Equipe" numFmtId="0">
      <sharedItems containsNonDate="0" containsString="0" containsBlank="1"/>
    </cacheField>
    <cacheField name="Progresso do Projeto" numFmtId="0">
      <sharedItems containsSemiMixedTypes="0" containsString="0" containsNumber="1" minValue="0" maxValue="1"/>
    </cacheField>
    <cacheField name="Sigla" numFmtId="0">
      <sharedItems containsBlank="1" containsMixedTypes="1" containsNumber="1" containsInteger="1" minValue="0" maxValue="0"/>
    </cacheField>
    <cacheField name="Localização" numFmtId="0">
      <sharedItems containsBlank="1"/>
    </cacheField>
    <cacheField name="USER 1" numFmtId="0">
      <sharedItems containsBlank="1"/>
    </cacheField>
    <cacheField name="TASKTYPE 1" numFmtId="0">
      <sharedItems containsBlank="1" containsMixedTypes="1" containsNumber="1" containsInteger="1" minValue="0" maxValue="0"/>
    </cacheField>
    <cacheField name="TASKTYPE 12" numFmtId="0">
      <sharedItems containsBlank="1" containsMixedTypes="1" containsNumber="1" containsInteger="1" minValue="0" maxValue="0"/>
    </cacheField>
    <cacheField name="USER 2" numFmtId="0">
      <sharedItems containsBlank="1" containsMixedTypes="1" containsNumber="1" minValue="0.25" maxValue="614.55999999999995"/>
    </cacheField>
    <cacheField name="USER 3" numFmtId="0">
      <sharedItems containsBlank="1"/>
    </cacheField>
    <cacheField name="Progresso Planejado" numFmtId="0">
      <sharedItems containsString="0" containsBlank="1" containsNumber="1" minValue="0.2" maxValue="1"/>
    </cacheField>
    <cacheField name="SEM. INÍCIO PLAN" numFmtId="0">
      <sharedItems containsSemiMixedTypes="0" containsString="0" containsNumber="1" containsInteger="1" minValue="1" maxValue="37"/>
    </cacheField>
    <cacheField name="SEM. TÉRM PLAN" numFmtId="0">
      <sharedItems containsSemiMixedTypes="0" containsString="0" containsNumber="1" containsInteger="1" minValue="1" maxValue="37" count="36">
        <n v="37"/>
        <n v="6"/>
        <n v="1"/>
        <n v="3"/>
        <n v="4"/>
        <n v="5"/>
        <n v="36"/>
        <n v="7"/>
        <n v="8"/>
        <n v="12"/>
        <n v="14"/>
        <n v="19"/>
        <n v="20"/>
        <n v="21"/>
        <n v="22"/>
        <n v="23"/>
        <n v="24"/>
        <n v="25"/>
        <n v="26"/>
        <n v="27"/>
        <n v="28"/>
        <n v="29"/>
        <n v="30"/>
        <n v="31"/>
        <n v="33"/>
        <n v="34"/>
        <n v="9"/>
        <n v="10"/>
        <n v="13"/>
        <n v="15"/>
        <n v="32"/>
        <n v="35"/>
        <n v="11"/>
        <n v="16"/>
        <n v="17"/>
        <n v="18"/>
      </sharedItems>
    </cacheField>
    <cacheField name="CUSTO PLANEJADO" numFmtId="0">
      <sharedItems containsSemiMixedTypes="0" containsString="0" containsNumber="1" minValue="0" maxValue="96851.74"/>
    </cacheField>
    <cacheField name="SEM. INÍCIO EXE" numFmtId="0">
      <sharedItems containsSemiMixedTypes="0" containsString="0" containsNumber="1" containsInteger="1" minValue="0" maxValue="20"/>
    </cacheField>
    <cacheField name="SEM. TÉRM EXE" numFmtId="0">
      <sharedItems containsSemiMixedTypes="0" containsString="0" containsNumber="1" containsInteger="1" minValue="0" maxValue="19" count="17">
        <n v="0"/>
        <n v="1"/>
        <n v="4"/>
        <n v="5"/>
        <n v="6"/>
        <n v="8"/>
        <n v="9"/>
        <n v="17"/>
        <n v="14"/>
        <n v="19"/>
        <n v="10"/>
        <n v="11"/>
        <n v="16"/>
        <n v="15"/>
        <n v="12"/>
        <n v="13"/>
        <n v="18"/>
      </sharedItems>
    </cacheField>
    <cacheField name="CUSTO EXECUTADO" numFmtId="44">
      <sharedItems containsSemiMixedTypes="0" containsString="0" containsNumber="1" minValue="0" maxValue="96851.74"/>
    </cacheField>
    <cacheField name="INÍCIO REPLAN" numFmtId="0">
      <sharedItems containsDate="1" containsBlank="1" containsMixedTypes="1" minDate="2021-09-27T00:00:00" maxDate="2022-03-18T00:00:00"/>
    </cacheField>
    <cacheField name="TÉRMINO REPLAN" numFmtId="0">
      <sharedItems containsDate="1" containsBlank="1" containsMixedTypes="1" minDate="2022-01-03T00:00:00" maxDate="2022-03-24T00:00:00"/>
    </cacheField>
    <cacheField name="SEM. INÍCIO REPLAN" numFmtId="0">
      <sharedItems containsSemiMixedTypes="0" containsString="0" containsNumber="1" containsInteger="1" minValue="0" maxValue="37"/>
    </cacheField>
    <cacheField name="SEM. TÉRM REPLAN" numFmtId="0">
      <sharedItems containsSemiMixedTypes="0" containsString="0" containsNumber="1" containsInteger="1" minValue="0" maxValue="37" count="21">
        <n v="0"/>
        <n v="34"/>
        <n v="21"/>
        <n v="22"/>
        <n v="23"/>
        <n v="25"/>
        <n v="26"/>
        <n v="27"/>
        <n v="28"/>
        <n v="29"/>
        <n v="31"/>
        <n v="33"/>
        <n v="32"/>
        <n v="35"/>
        <n v="24"/>
        <n v="30"/>
        <n v="36"/>
        <n v="37"/>
        <n v="19"/>
        <n v="17" u="1"/>
        <n v="18" u="1"/>
      </sharedItems>
    </cacheField>
    <cacheField name="CUSTO REPLAN" numFmtId="0">
      <sharedItems containsSemiMixedTypes="0" containsString="0" containsNumber="1" minValue="0" maxValue="26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461.688485069448" createdVersion="7" refreshedVersion="7" minRefreshableVersion="3" recordCount="125" xr:uid="{A1F1CB4A-5A87-4094-BC6E-66BD8EF13616}">
  <cacheSource type="worksheet">
    <worksheetSource ref="A1:AM126" sheet="BASE DE DADOS"/>
  </cacheSource>
  <cacheFields count="35">
    <cacheField name="Código" numFmtId="0">
      <sharedItems containsBlank="1" containsMixedTypes="1" containsNumber="1" containsInteger="1" minValue="1" maxValue="3"/>
    </cacheField>
    <cacheField name="Nome" numFmtId="0">
      <sharedItems containsBlank="1"/>
    </cacheField>
    <cacheField name="Nome 2" numFmtId="0">
      <sharedItems containsBlank="1" count="34">
        <m/>
        <s v="01.Locação e Gabarito"/>
        <s v="02.Estacas"/>
        <s v="03.Vigas Baldrames"/>
        <s v="04.Instalações Enterradas"/>
        <s v="05.Contrapiso"/>
        <s v="06.Alvenaria Estrutural"/>
        <s v="07.Estrutura Moldado in Loco"/>
        <s v="08.Instalações"/>
        <s v="09.Reboco Interno"/>
        <s v="10.Shaft "/>
        <s v="11.Impermeabilização do WC"/>
        <s v="12.Cerâmica"/>
        <s v="13.Gesso Liso"/>
        <s v="14.Esquadria de Aluminio"/>
        <s v="15.Fiação"/>
        <s v="16.Forro"/>
        <s v="17.Revestimento da Circulação"/>
        <s v="18.Disjuntores e CD"/>
        <s v="19.Pintura Interna - 1ªdmão"/>
        <s v="20.Louças"/>
        <s v="21.Portas de Madeira"/>
        <s v="22.Esquadria de Ferro"/>
        <s v="23.Piso Vinilico"/>
        <s v="24.Metais"/>
        <s v="25.Acabamentos Elétricos"/>
        <s v="26.Pintura Final"/>
        <s v="27.Complementação e Limpeza"/>
        <s v="28.Instalações Cob"/>
        <s v="29.Impermeabilização do Telhado"/>
        <s v="30.Telhado"/>
        <s v="31.Algerosas + Rufos"/>
        <s v="32.Reboco Externo"/>
        <s v="33.Pintura Externa"/>
      </sharedItems>
    </cacheField>
    <cacheField name="código2" numFmtId="0">
      <sharedItems containsBlank="1"/>
    </cacheField>
    <cacheField name="Macro Etapa" numFmtId="0">
      <sharedItems containsBlank="1" count="2">
        <m/>
        <s v="GERAL"/>
      </sharedItems>
    </cacheField>
    <cacheField name="Rede" numFmtId="0">
      <sharedItems containsBlank="1"/>
    </cacheField>
    <cacheField name="Duração" numFmtId="168">
      <sharedItems containsString="0" containsBlank="1" containsNumber="1" containsInteger="1" minValue="2" maxValue="185"/>
    </cacheField>
    <cacheField name="Planej. Inicial" numFmtId="14">
      <sharedItems containsNonDate="0" containsDate="1" containsString="0" containsBlank="1" minDate="2021-08-16T00:00:00" maxDate="2022-04-28T00:00:00"/>
    </cacheField>
    <cacheField name="Planej. Final" numFmtId="14">
      <sharedItems containsNonDate="0" containsDate="1" containsString="0" containsBlank="1" minDate="2021-08-20T00:00:00" maxDate="2022-04-30T00:00:00"/>
    </cacheField>
    <cacheField name="Início" numFmtId="0">
      <sharedItems containsNonDate="0" containsDate="1" containsString="0" containsBlank="1" minDate="2021-08-16T00:00:00" maxDate="2021-12-30T00:00:00"/>
    </cacheField>
    <cacheField name="Fim" numFmtId="0">
      <sharedItems containsNonDate="0" containsDate="1" containsString="0" containsBlank="1" minDate="2021-08-20T00:00:00" maxDate="2021-12-25T00:00:00"/>
    </cacheField>
    <cacheField name=" Custo " numFmtId="0">
      <sharedItems containsString="0" containsBlank="1" containsNumber="1" minValue="0" maxValue="96851.74"/>
    </cacheField>
    <cacheField name="Custo M.O" numFmtId="0">
      <sharedItems containsString="0" containsBlank="1" containsNumber="1" containsInteger="1" minValue="0" maxValue="0"/>
    </cacheField>
    <cacheField name="Equipe" numFmtId="0">
      <sharedItems containsNonDate="0" containsString="0" containsBlank="1"/>
    </cacheField>
    <cacheField name="Recursos da Equipe" numFmtId="0">
      <sharedItems containsNonDate="0" containsString="0" containsBlank="1"/>
    </cacheField>
    <cacheField name="Progresso do Projeto" numFmtId="0">
      <sharedItems containsString="0" containsBlank="1" containsNumber="1" minValue="0" maxValue="1" count="4">
        <n v="0"/>
        <n v="1"/>
        <n v="0.25"/>
        <m/>
      </sharedItems>
    </cacheField>
    <cacheField name="Sigla" numFmtId="0">
      <sharedItems containsBlank="1" containsMixedTypes="1" containsNumber="1" containsInteger="1" minValue="0" maxValue="0"/>
    </cacheField>
    <cacheField name="Localização" numFmtId="0">
      <sharedItems containsBlank="1" count="13">
        <m/>
        <s v="FUND"/>
        <s v="PAV1"/>
        <s v="PAV2"/>
        <s v="PAV3"/>
        <s v="PAV4"/>
        <s v="COB"/>
        <s v="PANO1"/>
        <s v="PANO2"/>
        <s v="PANO3"/>
        <s v="PANO4"/>
        <s v="PANO5"/>
        <s v="PANO6"/>
      </sharedItems>
    </cacheField>
    <cacheField name="USER 1" numFmtId="0">
      <sharedItems containsBlank="1"/>
    </cacheField>
    <cacheField name="TASKTYPE 1" numFmtId="0">
      <sharedItems containsBlank="1" containsMixedTypes="1" containsNumber="1" containsInteger="1" minValue="0" maxValue="0"/>
    </cacheField>
    <cacheField name="TASKTYPE 12" numFmtId="0">
      <sharedItems containsBlank="1" containsMixedTypes="1" containsNumber="1" containsInteger="1" minValue="0" maxValue="0"/>
    </cacheField>
    <cacheField name="USER 2" numFmtId="0">
      <sharedItems containsBlank="1" containsMixedTypes="1" containsNumber="1" minValue="0.25" maxValue="614.55999999999995"/>
    </cacheField>
    <cacheField name="USER 3" numFmtId="0">
      <sharedItems containsBlank="1"/>
    </cacheField>
    <cacheField name="Progresso Planejado" numFmtId="0">
      <sharedItems containsString="0" containsBlank="1" containsNumber="1" minValue="0.2" maxValue="1"/>
    </cacheField>
    <cacheField name="SEM. INÍCIO PLAN" numFmtId="0">
      <sharedItems containsString="0" containsBlank="1" containsNumber="1" containsInteger="1" minValue="1" maxValue="37"/>
    </cacheField>
    <cacheField name="SEM. TÉRM PLAN" numFmtId="0">
      <sharedItems containsString="0" containsBlank="1" containsNumber="1" containsInteger="1" minValue="1" maxValue="37"/>
    </cacheField>
    <cacheField name="CUSTO PLANEJADO" numFmtId="0">
      <sharedItems containsString="0" containsBlank="1" containsNumber="1" minValue="0" maxValue="96851.74"/>
    </cacheField>
    <cacheField name="SEM. INÍCIO EXE" numFmtId="0">
      <sharedItems containsString="0" containsBlank="1" containsNumber="1" containsInteger="1" minValue="0" maxValue="20"/>
    </cacheField>
    <cacheField name="SEM. TÉRM EXE" numFmtId="0">
      <sharedItems containsString="0" containsBlank="1" containsNumber="1" containsInteger="1" minValue="0" maxValue="19"/>
    </cacheField>
    <cacheField name="CUSTO EXECUTADO" numFmtId="44">
      <sharedItems containsString="0" containsBlank="1" containsNumber="1" minValue="0" maxValue="96851.74"/>
    </cacheField>
    <cacheField name="INÍCIO REPLAN" numFmtId="0">
      <sharedItems containsDate="1" containsBlank="1" containsMixedTypes="1" minDate="2021-09-27T00:00:00" maxDate="2022-04-27T00:00:00" count="36">
        <m/>
        <s v="executado"/>
        <d v="2021-09-27T00:00:00"/>
        <d v="2022-01-06T00:00:00"/>
        <d v="2022-01-13T00:00:00"/>
        <d v="2022-01-27T00:00:00"/>
        <d v="2022-02-01T00:00:00"/>
        <d v="2022-02-08T00:00:00"/>
        <d v="2022-02-15T00:00:00"/>
        <d v="2022-02-17T00:00:00"/>
        <d v="2022-02-22T00:00:00"/>
        <d v="2022-03-10T00:00:00"/>
        <d v="2022-03-15T00:00:00"/>
        <d v="2022-03-22T00:00:00"/>
        <d v="2022-03-17T00:00:00"/>
        <d v="2022-03-29T00:00:00"/>
        <d v="2022-04-05T00:00:00"/>
        <d v="2021-10-11T00:00:00"/>
        <d v="2022-01-20T00:00:00"/>
        <d v="2022-03-01T00:00:00"/>
        <d v="2022-04-12T00:00:00"/>
        <d v="2021-10-25T00:00:00"/>
        <d v="2022-01-03T00:00:00"/>
        <d v="2022-02-03T00:00:00"/>
        <d v="2022-02-24T00:00:00"/>
        <d v="2022-03-08T00:00:00"/>
        <d v="2022-03-24T00:00:00"/>
        <d v="2022-04-19T00:00:00"/>
        <d v="2021-11-08T00:00:00"/>
        <d v="2022-01-05T00:00:00"/>
        <d v="2022-02-10T00:00:00"/>
        <d v="2022-04-26T00:00:00"/>
        <d v="2021-11-22T00:00:00"/>
        <d v="2022-01-10T00:00:00"/>
        <d v="2022-03-03T00:00:00"/>
        <d v="2022-01-17T00:00:00"/>
      </sharedItems>
    </cacheField>
    <cacheField name="TÉRMINO REPLAN" numFmtId="0">
      <sharedItems containsDate="1" containsBlank="1" containsMixedTypes="1" minDate="2021-12-24T00:00:00" maxDate="2022-04-29T00:00:00" count="41">
        <m/>
        <s v="executado"/>
        <d v="2022-04-07T00:00:00"/>
        <d v="2022-01-12T00:00:00"/>
        <d v="2022-01-19T00:00:00"/>
        <d v="2022-01-31T00:00:00"/>
        <d v="2022-02-07T00:00:00"/>
        <d v="2022-02-14T00:00:00"/>
        <d v="2022-02-21T00:00:00"/>
        <d v="2022-02-28T00:00:00"/>
        <d v="2022-03-14T00:00:00"/>
        <d v="2022-03-17T00:00:00"/>
        <d v="2022-03-28T00:00:00"/>
        <d v="2022-03-21T00:00:00"/>
        <d v="2022-04-04T00:00:00"/>
        <d v="2022-04-14T00:00:00"/>
        <d v="2022-01-26T00:00:00"/>
        <d v="2022-02-03T00:00:00"/>
        <d v="2022-02-24T00:00:00"/>
        <d v="2022-03-07T00:00:00"/>
        <d v="2022-03-24T00:00:00"/>
        <d v="2022-04-11T00:00:00"/>
        <d v="2022-04-21T00:00:00"/>
        <d v="2022-01-05T00:00:00"/>
        <d v="2022-02-02T00:00:00"/>
        <d v="2022-04-18T00:00:00"/>
        <d v="2022-04-28T00:00:00"/>
        <d v="2022-01-07T00:00:00"/>
        <d v="2022-02-09T00:00:00"/>
        <d v="2022-03-03T00:00:00"/>
        <d v="2022-03-31T00:00:00"/>
        <d v="2022-04-25T00:00:00"/>
        <d v="2021-12-24T00:00:00"/>
        <d v="2022-03-23T00:00:00"/>
        <d v="2022-02-16T00:00:00"/>
        <d v="2022-02-23T00:00:00"/>
        <d v="2022-03-02T00:00:00"/>
        <d v="2022-01-14T00:00:00"/>
        <d v="2022-03-09T00:00:00"/>
        <d v="2022-03-16T00:00:00"/>
        <d v="2022-01-21T00:00:00"/>
      </sharedItems>
    </cacheField>
    <cacheField name="SEM. INÍCIO REPLAN" numFmtId="0">
      <sharedItems containsString="0" containsBlank="1" containsNumber="1" containsInteger="1" minValue="0" maxValue="37"/>
    </cacheField>
    <cacheField name="SEM. TÉRM REPLAN" numFmtId="0">
      <sharedItems containsString="0" containsBlank="1" containsNumber="1" containsInteger="1" minValue="0" maxValue="37"/>
    </cacheField>
    <cacheField name="CUSTO REPLAN" numFmtId="0">
      <sharedItems containsString="0" containsBlank="1" containsNumber="1" minValue="0" maxValue="26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462.265635300922" createdVersion="7" refreshedVersion="7" minRefreshableVersion="3" recordCount="124" xr:uid="{3C59D46A-05DC-4F5B-9625-E18FF4CE59C0}">
  <cacheSource type="worksheet">
    <worksheetSource ref="A1:AP125" sheet="BASE DE DADOS"/>
  </cacheSource>
  <cacheFields count="45">
    <cacheField name="Código" numFmtId="0">
      <sharedItems containsMixedTypes="1" containsNumber="1" containsInteger="1" minValue="1" maxValue="3"/>
    </cacheField>
    <cacheField name="Nome" numFmtId="0">
      <sharedItems count="46">
        <s v="ESTRUTURA/ACABAMENTOS"/>
        <s v="FUND"/>
        <s v="Locação e Gabarito"/>
        <s v="Estacas"/>
        <s v="Vigas Baldrames"/>
        <s v="Instalações Enterradas"/>
        <s v="Contrapiso"/>
        <s v="PAV1"/>
        <s v="Alvenaria Estrutural"/>
        <s v="Estrutura Moldado in Loco"/>
        <s v="Instalações Hidrossanitárias"/>
        <s v="Reboco Interno"/>
        <s v="Shaft "/>
        <s v="Impermeabilização"/>
        <s v="Cerâmica"/>
        <s v="Gesso Liso"/>
        <s v="Esquadria "/>
        <s v="Fiação"/>
        <s v="Forro"/>
        <s v="Rev. da Circulação"/>
        <s v="Disjuntores e CD"/>
        <s v="Pintura Interna - 1ªdmão"/>
        <s v="Louças"/>
        <s v="Portas de Madeira"/>
        <s v="Esquadria de Ferro Circulação"/>
        <s v="Piso Laminado + Rodapé"/>
        <s v="Metais"/>
        <s v="Acabamentos Elétricos"/>
        <s v="Pintura Final"/>
        <s v="Complementação e Limpeza"/>
        <s v="PAV2"/>
        <s v="PAV3"/>
        <s v="PAV4"/>
        <s v="COB"/>
        <s v="Impermeabilização do Telhado"/>
        <s v="Telhado"/>
        <s v="Algerosas + Rufos"/>
        <s v="FACHADA"/>
        <s v="PANO 1"/>
        <s v="Reboco Externo"/>
        <s v="Pintura Externa "/>
        <s v="PANO 2"/>
        <s v="PANO 3"/>
        <s v="PANO 4"/>
        <s v="PANO 5"/>
        <s v="PANO 6"/>
      </sharedItems>
    </cacheField>
    <cacheField name="Nome 2" numFmtId="0">
      <sharedItems containsBlank="1" count="34">
        <m/>
        <s v="01.Locação e Gabarito"/>
        <s v="02.Estacas"/>
        <s v="03.Vigas Baldrames"/>
        <s v="04.Instalações Enterradas"/>
        <s v="05.Contrapiso"/>
        <s v="06.Alvenaria Estrutural"/>
        <s v="07.Estrutura Moldado in Loco"/>
        <s v="08.Instalações"/>
        <s v="09.Reboco Interno"/>
        <s v="10.Shaft "/>
        <s v="11.Impermeabilização do WC"/>
        <s v="12.Cerâmica"/>
        <s v="13.Gesso Liso"/>
        <s v="14.Esquadria de Aluminio"/>
        <s v="15.Fiação"/>
        <s v="16.Forro"/>
        <s v="17.Revestimento da Circulação"/>
        <s v="18.Disjuntores e CD"/>
        <s v="19.Pintura Interna - 1ªdmão"/>
        <s v="20.Louças"/>
        <s v="21.Portas de Madeira"/>
        <s v="22.Esquadria de Ferro"/>
        <s v="23.Piso Vinilico"/>
        <s v="24.Metais"/>
        <s v="25.Acabamentos Elétricos"/>
        <s v="26.Pintura Final"/>
        <s v="27.Complementação e Limpeza"/>
        <s v="28.Instalações Cob"/>
        <s v="29.Impermeabilização do Telhado"/>
        <s v="30.Telhado"/>
        <s v="31.Algerosas + Rufos"/>
        <s v="32.Reboco Externo"/>
        <s v="33.Pintura Externa"/>
      </sharedItems>
    </cacheField>
    <cacheField name="código2" numFmtId="0">
      <sharedItems count="124">
        <s v="ESTRUTURA/ACABAMENTOS"/>
        <s v="FUND"/>
        <s v="Locação e GabaritoFUND"/>
        <s v="EstacasFUND"/>
        <s v="Vigas BaldramesFUND"/>
        <s v="Instalações EnterradasFUND"/>
        <s v="ContrapisoFUND"/>
        <s v="PAV1"/>
        <s v="Alvenaria EstruturalPAV1"/>
        <s v="Estrutura Moldado in LocoPAV1"/>
        <s v="Instalações HidrossanitáriasPAV1"/>
        <s v="Reboco InternoPAV1"/>
        <s v="Shaft PAV1"/>
        <s v="ImpermeabilizaçãoPAV1"/>
        <s v="CerâmicaPAV1"/>
        <s v="Gesso LisoPAV1"/>
        <s v="Esquadria PAV1"/>
        <s v="FiaçãoPAV1"/>
        <s v="ForroPAV1"/>
        <s v="Rev. da CirculaçãoPAV1"/>
        <s v="Disjuntores e CDPAV1"/>
        <s v="Pintura Interna - 1ªdmãoPAV1"/>
        <s v="LouçasPAV1"/>
        <s v="Portas de MadeiraPAV1"/>
        <s v="Esquadria de Ferro CirculaçãoPAV1"/>
        <s v="Piso Laminado + RodapéPAV1"/>
        <s v="MetaisPAV1"/>
        <s v="Acabamentos ElétricosPAV1"/>
        <s v="Pintura FinalPAV1"/>
        <s v="Complementação e LimpezaPAV1"/>
        <s v="PAV2"/>
        <s v="Alvenaria EstruturalPAV2"/>
        <s v="Estrutura Moldado in LocoPAV2"/>
        <s v="Instalações HidrossanitáriasPAV2"/>
        <s v="Reboco InternoPAV2"/>
        <s v="Shaft PAV2"/>
        <s v="ImpermeabilizaçãoPAV2"/>
        <s v="CerâmicaPAV2"/>
        <s v="Gesso LisoPAV2"/>
        <s v="Esquadria PAV2"/>
        <s v="FiaçãoPAV2"/>
        <s v="ForroPAV2"/>
        <s v="Rev. da CirculaçãoPAV2"/>
        <s v="Disjuntores e CDPAV2"/>
        <s v="Pintura Interna - 1ªdmãoPAV2"/>
        <s v="LouçasPAV2"/>
        <s v="Esquadria de Ferro CirculaçãoPAV2"/>
        <s v="Portas de MadeiraPAV2"/>
        <s v="Piso Laminado + RodapéPAV2"/>
        <s v="MetaisPAV2"/>
        <s v="Acabamentos ElétricosPAV2"/>
        <s v="Pintura FinalPAV2"/>
        <s v="Complementação e LimpezaPAV2"/>
        <s v="PAV3"/>
        <s v="Alvenaria EstruturalPAV3"/>
        <s v="Estrutura Moldado in LocoPAV3"/>
        <s v="Instalações HidrossanitáriasPAV3"/>
        <s v="Reboco InternoPAV3"/>
        <s v="Shaft PAV3"/>
        <s v="ImpermeabilizaçãoPAV3"/>
        <s v="CerâmicaPAV3"/>
        <s v="Gesso LisoPAV3"/>
        <s v="Esquadria PAV3"/>
        <s v="FiaçãoPAV3"/>
        <s v="ForroPAV3"/>
        <s v="Rev. da CirculaçãoPAV3"/>
        <s v="Disjuntores e CDPAV3"/>
        <s v="Pintura Interna - 1ªdmãoPAV3"/>
        <s v="Esquadria de Ferro CirculaçãoPAV3"/>
        <s v="LouçasPAV3"/>
        <s v="Portas de MadeiraPAV3"/>
        <s v="Piso Laminado + RodapéPAV3"/>
        <s v="MetaisPAV3"/>
        <s v="Acabamentos ElétricosPAV3"/>
        <s v="Pintura FinalPAV3"/>
        <s v="Complementação e LimpezaPAV3"/>
        <s v="PAV4"/>
        <s v="Alvenaria EstruturalPAV4"/>
        <s v="Estrutura Moldado in LocoPAV4"/>
        <s v="Instalações HidrossanitáriasPAV4"/>
        <s v="Reboco InternoPAV4"/>
        <s v="Shaft PAV4"/>
        <s v="ImpermeabilizaçãoPAV4"/>
        <s v="CerâmicaPAV4"/>
        <s v="Gesso LisoPAV4"/>
        <s v="Esquadria PAV4"/>
        <s v="FiaçãoPAV4"/>
        <s v="ForroPAV4"/>
        <s v="Disjuntores e CDPAV4"/>
        <s v="Rev. da CirculaçãoPAV4"/>
        <s v="Esquadria de Ferro CirculaçãoPAV4"/>
        <s v="Pintura Interna - 1ªdmãoPAV4"/>
        <s v="LouçasPAV4"/>
        <s v="Portas de MadeiraPAV4"/>
        <s v="Piso Laminado + RodapéPAV4"/>
        <s v="MetaisPAV4"/>
        <s v="Acabamentos ElétricosPAV4"/>
        <s v="Pintura FinalPAV4"/>
        <s v="Complementação e LimpezaPAV4"/>
        <s v="COB"/>
        <s v="Alvenaria EstruturalCOB"/>
        <s v="Instalações HidrossanitáriasCOB"/>
        <s v="Impermeabilização do TelhadoCOB"/>
        <s v="TelhadoCOB"/>
        <s v="Algerosas + RufosCOB"/>
        <s v="FACHADA"/>
        <s v="PANO 1"/>
        <s v="Reboco ExternoPANO1"/>
        <s v="Pintura Externa PANO1"/>
        <s v="PANO 2"/>
        <s v="Reboco ExternoPANO2"/>
        <s v="Pintura Externa PANO2"/>
        <s v="PANO 3"/>
        <s v="Reboco ExternoPANO3"/>
        <s v="Pintura Externa PANO3"/>
        <s v="PANO 4"/>
        <s v="Reboco ExternoPANO4"/>
        <s v="Pintura Externa PANO4"/>
        <s v="PANO 5"/>
        <s v="Reboco ExternoPANO5"/>
        <s v="Pintura Externa PANO5"/>
        <s v="PANO 6"/>
        <s v="Reboco ExternoPANO6"/>
        <s v="Pintura Externa PANO6"/>
      </sharedItems>
    </cacheField>
    <cacheField name="Macro Etapa" numFmtId="0">
      <sharedItems containsBlank="1" count="2">
        <m/>
        <s v="GERAL"/>
      </sharedItems>
    </cacheField>
    <cacheField name="Rede" numFmtId="0">
      <sharedItems containsBlank="1"/>
    </cacheField>
    <cacheField name="Duração" numFmtId="168">
      <sharedItems containsSemiMixedTypes="0" containsString="0" containsNumber="1" containsInteger="1" minValue="2" maxValue="185"/>
    </cacheField>
    <cacheField name="Planej. Inicial" numFmtId="14">
      <sharedItems containsSemiMixedTypes="0" containsNonDate="0" containsDate="1" containsString="0" minDate="2021-08-16T00:00:00" maxDate="2022-04-28T00:00:00"/>
    </cacheField>
    <cacheField name="Planej. Final" numFmtId="14">
      <sharedItems containsSemiMixedTypes="0" containsNonDate="0" containsDate="1" containsString="0" minDate="2021-08-20T00:00:00" maxDate="2022-04-30T00:00:00"/>
    </cacheField>
    <cacheField name="Início" numFmtId="14">
      <sharedItems containsNonDate="0" containsDate="1" containsString="0" containsBlank="1" minDate="2021-08-16T00:00:00" maxDate="2021-12-30T00:00:00"/>
    </cacheField>
    <cacheField name="Fim" numFmtId="14">
      <sharedItems containsNonDate="0" containsDate="1" containsString="0" containsBlank="1" minDate="2021-08-20T00:00:00" maxDate="2021-12-25T00:00:00" count="21">
        <m/>
        <d v="2021-08-20T00:00:00"/>
        <d v="2021-09-10T00:00:00"/>
        <d v="2021-09-17T00:00:00"/>
        <d v="2021-09-22T00:00:00"/>
        <d v="2021-09-24T00:00:00"/>
        <d v="2021-10-08T00:00:00"/>
        <d v="2021-10-15T00:00:00"/>
        <d v="2021-12-12T00:00:00"/>
        <d v="2021-11-19T00:00:00"/>
        <d v="2021-12-22T00:00:00"/>
        <d v="2021-10-22T00:00:00"/>
        <d v="2021-10-29T00:00:00"/>
        <d v="2021-12-04T00:00:00"/>
        <d v="2021-11-26T00:00:00"/>
        <d v="2021-12-24T00:00:00"/>
        <d v="2021-11-05T00:00:00"/>
        <d v="2021-11-12T00:00:00"/>
        <d v="2021-12-03T00:00:00"/>
        <d v="2021-12-10T00:00:00"/>
        <d v="2021-12-17T00:00:00"/>
      </sharedItems>
      <fieldGroup par="44" base="10">
        <rangePr groupBy="days" startDate="2021-08-20T00:00:00" endDate="2021-12-25T00:00:00"/>
        <groupItems count="368">
          <s v="(vazio)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25/12/2021"/>
        </groupItems>
      </fieldGroup>
    </cacheField>
    <cacheField name=" Custo " numFmtId="43">
      <sharedItems containsString="0" containsBlank="1" containsNumber="1" minValue="0" maxValue="96851.74"/>
    </cacheField>
    <cacheField name="Custo M.O" numFmtId="8">
      <sharedItems containsSemiMixedTypes="0" containsString="0" containsNumber="1" containsInteger="1" minValue="0" maxValue="0"/>
    </cacheField>
    <cacheField name="Equipe" numFmtId="0">
      <sharedItems containsNonDate="0" containsString="0" containsBlank="1"/>
    </cacheField>
    <cacheField name="Recursos da Equipe" numFmtId="0">
      <sharedItems containsNonDate="0" containsString="0" containsBlank="1"/>
    </cacheField>
    <cacheField name="Progresso do Projeto" numFmtId="0">
      <sharedItems containsSemiMixedTypes="0" containsString="0" containsNumber="1" minValue="0" maxValue="1" count="3">
        <n v="0"/>
        <n v="1"/>
        <n v="0.25"/>
      </sharedItems>
    </cacheField>
    <cacheField name="Sigla" numFmtId="0">
      <sharedItems containsBlank="1" containsMixedTypes="1" containsNumber="1" containsInteger="1" minValue="0" maxValue="0"/>
    </cacheField>
    <cacheField name="Localização" numFmtId="0">
      <sharedItems containsBlank="1" count="13">
        <m/>
        <s v="FUND"/>
        <s v="PAV1"/>
        <s v="PAV2"/>
        <s v="PAV3"/>
        <s v="PAV4"/>
        <s v="COB"/>
        <s v="PANO1"/>
        <s v="PANO2"/>
        <s v="PANO3"/>
        <s v="PANO4"/>
        <s v="PANO5"/>
        <s v="PANO6"/>
      </sharedItems>
    </cacheField>
    <cacheField name="USER 1" numFmtId="0">
      <sharedItems containsBlank="1"/>
    </cacheField>
    <cacheField name="TASKTYPE 1" numFmtId="0">
      <sharedItems containsBlank="1" containsMixedTypes="1" containsNumber="1" containsInteger="1" minValue="0" maxValue="0"/>
    </cacheField>
    <cacheField name="TASKTYPE 12" numFmtId="0">
      <sharedItems containsBlank="1" containsMixedTypes="1" containsNumber="1" containsInteger="1" minValue="0" maxValue="0"/>
    </cacheField>
    <cacheField name="USER 2" numFmtId="0">
      <sharedItems containsBlank="1" containsMixedTypes="1" containsNumber="1" minValue="0.25" maxValue="614.55999999999995"/>
    </cacheField>
    <cacheField name="USER 3" numFmtId="0">
      <sharedItems containsBlank="1"/>
    </cacheField>
    <cacheField name="peso da tarefa" numFmtId="173">
      <sharedItems containsSemiMixedTypes="0" containsString="0" containsNumber="1" minValue="0" maxValue="6.3110113884243424E-2"/>
    </cacheField>
    <cacheField name="EQUIPE PLANEJADA" numFmtId="0">
      <sharedItems containsNonDate="0" containsString="0" containsBlank="1"/>
    </cacheField>
    <cacheField name="Progresso Planejado" numFmtId="0">
      <sharedItems containsString="0" containsBlank="1" containsNumber="1" minValue="0.2" maxValue="1"/>
    </cacheField>
    <cacheField name="SEM. INÍCIO PLAN" numFmtId="0">
      <sharedItems containsSemiMixedTypes="0" containsString="0" containsNumber="1" containsInteger="1" minValue="1" maxValue="37"/>
    </cacheField>
    <cacheField name="SEM. TÉRM PLAN" numFmtId="0">
      <sharedItems containsSemiMixedTypes="0" containsString="0" containsNumber="1" containsInteger="1" minValue="1" maxValue="37" count="36">
        <n v="37"/>
        <n v="6"/>
        <n v="1"/>
        <n v="3"/>
        <n v="4"/>
        <n v="5"/>
        <n v="36"/>
        <n v="7"/>
        <n v="8"/>
        <n v="12"/>
        <n v="14"/>
        <n v="19"/>
        <n v="20"/>
        <n v="21"/>
        <n v="22"/>
        <n v="23"/>
        <n v="24"/>
        <n v="25"/>
        <n v="26"/>
        <n v="27"/>
        <n v="28"/>
        <n v="29"/>
        <n v="30"/>
        <n v="31"/>
        <n v="33"/>
        <n v="34"/>
        <n v="9"/>
        <n v="10"/>
        <n v="13"/>
        <n v="15"/>
        <n v="32"/>
        <n v="35"/>
        <n v="11"/>
        <n v="16"/>
        <n v="17"/>
        <n v="18"/>
      </sharedItems>
    </cacheField>
    <cacheField name="CUSTO PLANEJADO" numFmtId="0">
      <sharedItems containsSemiMixedTypes="0" containsString="0" containsNumber="1" minValue="0" maxValue="96851.74"/>
    </cacheField>
    <cacheField name="DURAÇÃO EXE" numFmtId="0">
      <sharedItems containsString="0" containsBlank="1" containsNumber="1" containsInteger="1" minValue="0" maxValue="15"/>
    </cacheField>
    <cacheField name="EQUIPE EXE" numFmtId="0">
      <sharedItems containsNonDate="0" containsString="0" containsBlank="1"/>
    </cacheField>
    <cacheField name="SEM. INÍCIO EXE" numFmtId="0">
      <sharedItems containsSemiMixedTypes="0" containsString="0" containsNumber="1" containsInteger="1" minValue="0" maxValue="20"/>
    </cacheField>
    <cacheField name="SEM. TÉRM EXE" numFmtId="0">
      <sharedItems containsSemiMixedTypes="0" containsString="0" containsNumber="1" containsInteger="1" minValue="0" maxValue="19" count="17">
        <n v="0"/>
        <n v="1"/>
        <n v="4"/>
        <n v="5"/>
        <n v="6"/>
        <n v="8"/>
        <n v="9"/>
        <n v="17"/>
        <n v="14"/>
        <n v="19"/>
        <n v="10"/>
        <n v="11"/>
        <n v="16"/>
        <n v="15"/>
        <n v="12"/>
        <n v="13"/>
        <n v="18"/>
      </sharedItems>
    </cacheField>
    <cacheField name="CUSTO EXECUTADO" numFmtId="44">
      <sharedItems containsSemiMixedTypes="0" containsString="0" containsNumber="1" minValue="0" maxValue="96851.74"/>
    </cacheField>
    <cacheField name="INÍCIO REPLAN" numFmtId="172">
      <sharedItems containsDate="1" containsBlank="1" containsMixedTypes="1" minDate="2021-09-27T00:00:00" maxDate="2022-04-27T00:00:00"/>
    </cacheField>
    <cacheField name="TÉRMINO REPLAN" numFmtId="172">
      <sharedItems containsDate="1" containsBlank="1" containsMixedTypes="1" minDate="2021-12-24T00:00:00" maxDate="2022-04-29T00:00:00"/>
    </cacheField>
    <cacheField name="SEM. INÍCIO REPLAN" numFmtId="0">
      <sharedItems containsSemiMixedTypes="0" containsString="0" containsNumber="1" containsInteger="1" minValue="0" maxValue="37"/>
    </cacheField>
    <cacheField name="SEM. TÉRM REPLAN" numFmtId="0">
      <sharedItems containsSemiMixedTypes="0" containsString="0" containsNumber="1" containsInteger="1" minValue="0" maxValue="37"/>
    </cacheField>
    <cacheField name="CUSTO REPLAN" numFmtId="0">
      <sharedItems containsSemiMixedTypes="0" containsString="0" containsNumber="1" minValue="0" maxValue="26500"/>
    </cacheField>
    <cacheField name="A GASTAR" numFmtId="0">
      <sharedItems containsNonDate="0" containsString="0" containsBlank="1"/>
    </cacheField>
    <cacheField name="MAIS 15" numFmtId="0">
      <sharedItems containsNonDate="0" containsString="0" containsBlank="1"/>
    </cacheField>
    <cacheField name="MENOS 15" numFmtId="0">
      <sharedItems containsNonDate="0" containsString="0" containsBlank="1"/>
    </cacheField>
    <cacheField name="DATA +15" numFmtId="0">
      <sharedItems containsNonDate="0" containsString="0" containsBlank="1"/>
    </cacheField>
    <cacheField name="DATA -15" numFmtId="0">
      <sharedItems containsNonDate="0" containsString="0" containsBlank="1"/>
    </cacheField>
    <cacheField name="Meses" numFmtId="0" databaseField="0">
      <fieldGroup base="10">
        <rangePr groupBy="months" startDate="2021-08-20T00:00:00" endDate="2021-12-25T00:00:00"/>
        <groupItems count="14">
          <s v="&lt;20/08/2021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25/1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n v="1"/>
    <x v="0"/>
    <x v="0"/>
    <s v="ESTRUTURA/ACABAMENTOS"/>
    <x v="0"/>
    <m/>
    <n v="185"/>
    <d v="2021-08-16T00:00:00"/>
    <d v="2022-04-29T00:00:00"/>
    <m/>
    <m/>
    <m/>
    <n v="0"/>
    <m/>
    <m/>
    <n v="0"/>
    <m/>
    <m/>
    <m/>
    <m/>
    <m/>
    <m/>
    <m/>
    <m/>
    <n v="1"/>
    <x v="0"/>
    <n v="0"/>
    <n v="0"/>
    <x v="0"/>
    <n v="0"/>
    <m/>
    <m/>
    <n v="0"/>
    <x v="0"/>
    <n v="0"/>
  </r>
  <r>
    <s v="1.1"/>
    <x v="1"/>
    <x v="0"/>
    <s v="FUND"/>
    <x v="0"/>
    <m/>
    <n v="30"/>
    <d v="2021-08-16T00:00:00"/>
    <d v="2021-09-24T00:00:00"/>
    <m/>
    <m/>
    <m/>
    <n v="0"/>
    <m/>
    <m/>
    <n v="0"/>
    <m/>
    <m/>
    <m/>
    <m/>
    <m/>
    <m/>
    <m/>
    <m/>
    <n v="1"/>
    <x v="1"/>
    <n v="0"/>
    <n v="0"/>
    <x v="0"/>
    <n v="0"/>
    <m/>
    <m/>
    <n v="0"/>
    <x v="0"/>
    <n v="0"/>
  </r>
  <r>
    <s v="1.1.1.1"/>
    <x v="2"/>
    <x v="1"/>
    <s v="Locação e GabaritoFUND"/>
    <x v="1"/>
    <s v="FUNDAÇÃO"/>
    <n v="5"/>
    <d v="2021-08-16T00:00:00"/>
    <d v="2021-08-20T00:00:00"/>
    <d v="2021-08-16T00:00:00"/>
    <d v="2021-08-20T00:00:00"/>
    <n v="2720.55"/>
    <n v="0"/>
    <m/>
    <m/>
    <n v="1"/>
    <n v="0"/>
    <s v="FUND"/>
    <s v="0_FUND"/>
    <n v="0"/>
    <n v="0"/>
    <n v="74.739999999999995"/>
    <s v="m²"/>
    <n v="1"/>
    <n v="1"/>
    <x v="2"/>
    <n v="2720.55"/>
    <n v="1"/>
    <x v="1"/>
    <n v="2720.55"/>
    <s v=""/>
    <s v=""/>
    <n v="0"/>
    <x v="0"/>
    <n v="0"/>
  </r>
  <r>
    <s v="1.1.1.2"/>
    <x v="3"/>
    <x v="2"/>
    <s v="EstacasFUND"/>
    <x v="1"/>
    <s v="FUNDAÇÃO"/>
    <n v="10"/>
    <d v="2021-08-23T00:00:00"/>
    <d v="2021-09-03T00:00:00"/>
    <d v="2021-08-23T00:00:00"/>
    <d v="2021-09-10T00:00:00"/>
    <n v="34356.19"/>
    <n v="0"/>
    <m/>
    <m/>
    <n v="1"/>
    <s v="EST"/>
    <s v="FUND"/>
    <s v="EST_FUND"/>
    <s v="EST"/>
    <s v="Construct"/>
    <n v="14.82"/>
    <s v="m³"/>
    <n v="1"/>
    <n v="2"/>
    <x v="3"/>
    <n v="34356.19"/>
    <n v="2"/>
    <x v="2"/>
    <n v="34356.19"/>
    <s v=""/>
    <s v=""/>
    <n v="0"/>
    <x v="0"/>
    <n v="0"/>
  </r>
  <r>
    <s v="1.1.1.3"/>
    <x v="4"/>
    <x v="3"/>
    <s v="Vigas BaldramesFUND"/>
    <x v="1"/>
    <s v="FUNDAÇÃO"/>
    <n v="5"/>
    <d v="2021-09-06T00:00:00"/>
    <d v="2021-09-10T00:00:00"/>
    <d v="2021-09-13T00:00:00"/>
    <d v="2021-09-17T00:00:00"/>
    <n v="70046.69"/>
    <n v="0"/>
    <m/>
    <m/>
    <n v="1"/>
    <s v="VGB"/>
    <s v="FUND"/>
    <s v="VGB_FUND"/>
    <s v="VGB"/>
    <s v="Construct"/>
    <n v="18.11"/>
    <s v="m³"/>
    <n v="1"/>
    <n v="4"/>
    <x v="4"/>
    <n v="70046.69"/>
    <n v="5"/>
    <x v="3"/>
    <n v="70046.69"/>
    <s v=""/>
    <s v=""/>
    <n v="0"/>
    <x v="0"/>
    <n v="0"/>
  </r>
  <r>
    <s v="1.1.1.4"/>
    <x v="5"/>
    <x v="4"/>
    <s v="Instalações EnterradasFUND"/>
    <x v="1"/>
    <s v="FUNDAÇÃO"/>
    <n v="5"/>
    <d v="2021-09-13T00:00:00"/>
    <d v="2021-09-17T00:00:00"/>
    <d v="2021-09-20T00:00:00"/>
    <d v="2021-09-22T00:00:00"/>
    <n v="350"/>
    <n v="0"/>
    <m/>
    <m/>
    <n v="1"/>
    <s v="INSENT"/>
    <s v="FUND"/>
    <s v="INSENT_FUND"/>
    <s v="INSENT"/>
    <s v="Construct"/>
    <n v="1"/>
    <s v="torre"/>
    <n v="1"/>
    <n v="5"/>
    <x v="5"/>
    <n v="350"/>
    <n v="6"/>
    <x v="4"/>
    <n v="350"/>
    <s v=""/>
    <s v=""/>
    <n v="0"/>
    <x v="0"/>
    <n v="0"/>
  </r>
  <r>
    <s v="1.1.1.5"/>
    <x v="6"/>
    <x v="5"/>
    <s v="ContrapisoFUND"/>
    <x v="1"/>
    <s v="FUNDAÇÃO"/>
    <n v="5"/>
    <d v="2021-09-20T00:00:00"/>
    <d v="2021-09-24T00:00:00"/>
    <d v="2021-09-22T00:00:00"/>
    <d v="2021-09-24T00:00:00"/>
    <n v="34912.21"/>
    <n v="0"/>
    <m/>
    <m/>
    <n v="1"/>
    <s v="CONT"/>
    <s v="FUND"/>
    <s v="CONT_FUND"/>
    <s v="CONT"/>
    <s v="Construct"/>
    <n v="224.41"/>
    <s v="m²"/>
    <n v="1"/>
    <n v="6"/>
    <x v="1"/>
    <n v="34912.21"/>
    <n v="6"/>
    <x v="4"/>
    <n v="34912.21"/>
    <s v=""/>
    <s v=""/>
    <n v="0"/>
    <x v="0"/>
    <n v="0"/>
  </r>
  <r>
    <s v="1.2"/>
    <x v="7"/>
    <x v="0"/>
    <s v="PAV1"/>
    <x v="0"/>
    <m/>
    <n v="147"/>
    <d v="2021-09-27T00:00:00"/>
    <d v="2022-04-20T00:00:00"/>
    <m/>
    <m/>
    <m/>
    <n v="0"/>
    <m/>
    <m/>
    <n v="0"/>
    <m/>
    <m/>
    <s v="_"/>
    <n v="0"/>
    <n v="0"/>
    <m/>
    <m/>
    <m/>
    <n v="7"/>
    <x v="6"/>
    <n v="0"/>
    <n v="0"/>
    <x v="0"/>
    <n v="0"/>
    <d v="2021-09-27T00:00:00"/>
    <d v="2022-04-07T00:00:00"/>
    <n v="7"/>
    <x v="1"/>
    <n v="0"/>
  </r>
  <r>
    <s v="1.2.2.3"/>
    <x v="8"/>
    <x v="6"/>
    <s v="Alvenaria EstruturalPAV1"/>
    <x v="1"/>
    <s v="TIPO"/>
    <n v="5"/>
    <d v="2021-09-27T00:00:00"/>
    <d v="2021-10-01T00:00:00"/>
    <d v="2021-09-27T00:00:00"/>
    <d v="2021-10-08T00:00:00"/>
    <n v="96573.61"/>
    <n v="0"/>
    <m/>
    <m/>
    <n v="1"/>
    <s v="ALV"/>
    <s v="PAV1"/>
    <s v="ALV_PAV1"/>
    <s v="ALV"/>
    <s v="Construct"/>
    <n v="389.58"/>
    <s v="m²"/>
    <n v="1"/>
    <n v="7"/>
    <x v="7"/>
    <n v="96573.61"/>
    <n v="7"/>
    <x v="5"/>
    <n v="96573.61"/>
    <s v=""/>
    <s v=""/>
    <n v="0"/>
    <x v="0"/>
    <n v="0"/>
  </r>
  <r>
    <s v="1.2.2.4"/>
    <x v="9"/>
    <x v="7"/>
    <s v="Estrutura Moldado in LocoPAV1"/>
    <x v="1"/>
    <s v="TIPO"/>
    <n v="5"/>
    <d v="2021-10-04T00:00:00"/>
    <d v="2021-10-08T00:00:00"/>
    <d v="2021-10-11T00:00:00"/>
    <d v="2021-10-15T00:00:00"/>
    <n v="64892.03"/>
    <n v="0"/>
    <m/>
    <m/>
    <n v="1"/>
    <s v="ESTINLOCO"/>
    <s v="PAV1"/>
    <s v="ESTINLOCO_PAV1"/>
    <s v="ESTINLOCO"/>
    <s v="Construct"/>
    <n v="25.44"/>
    <s v="m³"/>
    <n v="1"/>
    <n v="8"/>
    <x v="8"/>
    <n v="64892.03"/>
    <n v="9"/>
    <x v="6"/>
    <n v="64892.03"/>
    <s v=""/>
    <s v=""/>
    <n v="0"/>
    <x v="0"/>
    <n v="0"/>
  </r>
  <r>
    <s v="1.2.2.5"/>
    <x v="10"/>
    <x v="8"/>
    <s v="Instalações HidrossanitáriasPAV1"/>
    <x v="1"/>
    <s v="TIPO"/>
    <n v="5"/>
    <d v="2021-11-01T00:00:00"/>
    <d v="2021-11-05T00:00:00"/>
    <d v="2021-12-07T00:00:00"/>
    <d v="2021-12-12T00:00:00"/>
    <n v="13455.89"/>
    <n v="0"/>
    <m/>
    <m/>
    <n v="1"/>
    <s v="HIDRO"/>
    <s v="PAV1"/>
    <s v="HIDRO_PAV1"/>
    <s v="HIDRO"/>
    <s v="Construct"/>
    <n v="1"/>
    <s v="pvto"/>
    <n v="1"/>
    <n v="12"/>
    <x v="9"/>
    <n v="13455.89"/>
    <n v="17"/>
    <x v="7"/>
    <n v="13455.89"/>
    <s v=""/>
    <s v=""/>
    <n v="0"/>
    <x v="0"/>
    <n v="0"/>
  </r>
  <r>
    <s v="1.2.2.6"/>
    <x v="11"/>
    <x v="9"/>
    <s v="Reboco InternoPAV1"/>
    <x v="1"/>
    <s v="TIPO"/>
    <n v="5"/>
    <d v="2021-11-15T00:00:00"/>
    <d v="2021-11-19T00:00:00"/>
    <d v="2021-11-15T00:00:00"/>
    <d v="2021-11-19T00:00:00"/>
    <n v="984.14"/>
    <n v="0"/>
    <m/>
    <m/>
    <n v="1"/>
    <s v="REBINT"/>
    <s v="PAV1"/>
    <s v="REBINT_PAV1"/>
    <s v="REBINT"/>
    <s v="Construct"/>
    <n v="140.59"/>
    <s v="m²"/>
    <n v="1"/>
    <n v="14"/>
    <x v="10"/>
    <n v="984.14"/>
    <n v="14"/>
    <x v="8"/>
    <n v="984.14"/>
    <s v=""/>
    <s v=""/>
    <n v="0"/>
    <x v="0"/>
    <n v="0"/>
  </r>
  <r>
    <s v="1.2.2.7"/>
    <x v="12"/>
    <x v="10"/>
    <s v="Shaft PAV1"/>
    <x v="1"/>
    <s v="TIPO"/>
    <n v="2"/>
    <d v="2021-12-20T00:00:00"/>
    <d v="2021-12-22T00:00:00"/>
    <d v="2021-12-20T00:00:00"/>
    <d v="2021-12-22T00:00:00"/>
    <n v="3159.37"/>
    <n v="0"/>
    <m/>
    <m/>
    <n v="1"/>
    <s v="SHAFT"/>
    <s v="PAV1"/>
    <s v="SHAFT_PAV1"/>
    <s v="SHAFT"/>
    <s v="Construct"/>
    <n v="10.69"/>
    <s v="m²"/>
    <n v="1"/>
    <n v="19"/>
    <x v="11"/>
    <n v="3159.37"/>
    <n v="19"/>
    <x v="9"/>
    <n v="3159.37"/>
    <s v=""/>
    <s v=""/>
    <n v="0"/>
    <x v="0"/>
    <n v="0"/>
  </r>
  <r>
    <s v="1.2.2.8"/>
    <x v="13"/>
    <x v="11"/>
    <s v="ImpermeabilizaçãoPAV1"/>
    <x v="1"/>
    <s v="TIPO"/>
    <n v="5"/>
    <d v="2021-12-22T00:00:00"/>
    <d v="2021-12-29T00:00:00"/>
    <d v="2021-12-29T00:00:00"/>
    <m/>
    <n v="239.07"/>
    <n v="0"/>
    <m/>
    <m/>
    <n v="0.25"/>
    <s v="IMP"/>
    <s v="PAV1"/>
    <s v="IMP_PAV1"/>
    <s v="IMP"/>
    <s v="Construct"/>
    <n v="6.08"/>
    <s v="m²"/>
    <n v="1"/>
    <n v="19"/>
    <x v="12"/>
    <n v="239.07"/>
    <n v="20"/>
    <x v="0"/>
    <n v="0"/>
    <s v=""/>
    <d v="2022-01-03T00:00:00"/>
    <n v="0"/>
    <x v="2"/>
    <n v="239.07"/>
  </r>
  <r>
    <s v="1.2.2.9"/>
    <x v="14"/>
    <x v="12"/>
    <s v="CerâmicaPAV1"/>
    <x v="1"/>
    <s v="TIPO"/>
    <n v="5"/>
    <d v="2021-12-29T00:00:00"/>
    <d v="2022-01-05T00:00:00"/>
    <m/>
    <m/>
    <n v="20435.66"/>
    <n v="0"/>
    <m/>
    <m/>
    <n v="0"/>
    <s v="CERAM"/>
    <s v="PAV1"/>
    <s v="CERAM_PAV1"/>
    <s v="CERAM"/>
    <s v="Construct"/>
    <n v="86.26"/>
    <s v="m²"/>
    <n v="0.6"/>
    <n v="20"/>
    <x v="13"/>
    <n v="12261.395999999999"/>
    <n v="0"/>
    <x v="0"/>
    <n v="0"/>
    <d v="2022-01-06T00:00:00"/>
    <d v="2022-01-12T00:00:00"/>
    <n v="21"/>
    <x v="3"/>
    <n v="20435.66"/>
  </r>
  <r>
    <s v="1.2.2.10"/>
    <x v="15"/>
    <x v="13"/>
    <s v="Gesso LisoPAV1"/>
    <x v="1"/>
    <s v="TIPO"/>
    <n v="5"/>
    <d v="2022-01-05T00:00:00"/>
    <d v="2022-01-12T00:00:00"/>
    <m/>
    <m/>
    <n v="6811.28"/>
    <n v="0"/>
    <m/>
    <m/>
    <n v="0"/>
    <s v="GEPINT"/>
    <s v="PAV1"/>
    <s v="GEPINT_PAV1"/>
    <s v="GESSO"/>
    <s v="Construct"/>
    <n v="447.45"/>
    <s v="m²"/>
    <m/>
    <n v="21"/>
    <x v="14"/>
    <n v="0"/>
    <n v="0"/>
    <x v="0"/>
    <n v="0"/>
    <d v="2022-01-13T00:00:00"/>
    <d v="2022-01-19T00:00:00"/>
    <n v="22"/>
    <x v="4"/>
    <n v="6811.28"/>
  </r>
  <r>
    <s v="1.2.2.11"/>
    <x v="16"/>
    <x v="14"/>
    <s v="Esquadria PAV1"/>
    <x v="1"/>
    <s v="TIPO"/>
    <n v="5"/>
    <d v="2022-01-12T00:00:00"/>
    <d v="2022-01-19T00:00:00"/>
    <m/>
    <m/>
    <n v="26500"/>
    <n v="0"/>
    <m/>
    <m/>
    <n v="0"/>
    <s v="ESQ"/>
    <s v="PAV1"/>
    <s v="ESQ_PAV1"/>
    <s v="ESQ"/>
    <s v="Construct"/>
    <n v="21"/>
    <s v="und"/>
    <m/>
    <n v="22"/>
    <x v="15"/>
    <n v="0"/>
    <n v="0"/>
    <x v="0"/>
    <n v="0"/>
    <d v="2022-01-27T00:00:00"/>
    <d v="2022-01-31T00:00:00"/>
    <n v="24"/>
    <x v="5"/>
    <n v="26500"/>
  </r>
  <r>
    <s v="1.2.2.12"/>
    <x v="17"/>
    <x v="15"/>
    <s v="FiaçãoPAV1"/>
    <x v="1"/>
    <s v="TIPO"/>
    <n v="5"/>
    <d v="2022-01-19T00:00:00"/>
    <d v="2022-01-26T00:00:00"/>
    <m/>
    <m/>
    <n v="5134.5200000000004"/>
    <n v="0"/>
    <m/>
    <m/>
    <n v="0"/>
    <s v="GEPINT"/>
    <s v="PAV1"/>
    <s v="GEPINT_PAV1"/>
    <s v="FIA"/>
    <s v="Construct"/>
    <n v="4"/>
    <s v="apto"/>
    <m/>
    <n v="23"/>
    <x v="16"/>
    <n v="0"/>
    <n v="0"/>
    <x v="0"/>
    <n v="0"/>
    <d v="2022-02-01T00:00:00"/>
    <d v="2022-02-07T00:00:00"/>
    <n v="25"/>
    <x v="6"/>
    <n v="5134.5200000000004"/>
  </r>
  <r>
    <s v="1.2.2.13"/>
    <x v="18"/>
    <x v="16"/>
    <s v="ForroPAV1"/>
    <x v="1"/>
    <s v="TIPO"/>
    <n v="5"/>
    <d v="2022-01-26T00:00:00"/>
    <d v="2022-02-02T00:00:00"/>
    <m/>
    <m/>
    <n v="2297.4899999999998"/>
    <n v="0"/>
    <m/>
    <m/>
    <n v="0"/>
    <s v="FOR"/>
    <s v="PAV1"/>
    <s v="FOR_PAV1"/>
    <s v="FOR"/>
    <s v="Construct"/>
    <n v="29.29"/>
    <s v="m²"/>
    <m/>
    <n v="24"/>
    <x v="17"/>
    <n v="0"/>
    <n v="0"/>
    <x v="0"/>
    <n v="0"/>
    <d v="2022-02-08T00:00:00"/>
    <d v="2022-02-14T00:00:00"/>
    <n v="26"/>
    <x v="7"/>
    <n v="2297.4899999999998"/>
  </r>
  <r>
    <s v="1.2.2.17"/>
    <x v="19"/>
    <x v="17"/>
    <s v="Rev. da CirculaçãoPAV1"/>
    <x v="1"/>
    <s v="TIPO"/>
    <n v="5"/>
    <d v="2022-02-02T00:00:00"/>
    <d v="2022-02-09T00:00:00"/>
    <m/>
    <m/>
    <n v="3617.3"/>
    <n v="0"/>
    <m/>
    <m/>
    <n v="0"/>
    <s v="REVCIRC"/>
    <s v="PAV1"/>
    <s v="REVCIRC_PAV1"/>
    <s v="REVCIRC"/>
    <s v="Construct"/>
    <n v="22.5"/>
    <s v="m²"/>
    <m/>
    <n v="25"/>
    <x v="18"/>
    <n v="0"/>
    <n v="0"/>
    <x v="0"/>
    <n v="0"/>
    <d v="2022-02-15T00:00:00"/>
    <d v="2022-02-21T00:00:00"/>
    <n v="27"/>
    <x v="8"/>
    <n v="3617.3"/>
  </r>
  <r>
    <s v="1.2.2.14"/>
    <x v="20"/>
    <x v="18"/>
    <s v="Disjuntores e CDPAV1"/>
    <x v="1"/>
    <s v="TIPO"/>
    <n v="2"/>
    <d v="2022-02-14T00:00:00"/>
    <d v="2022-02-16T00:00:00"/>
    <m/>
    <m/>
    <n v="1400"/>
    <n v="0"/>
    <m/>
    <m/>
    <n v="0"/>
    <s v="DISJ"/>
    <s v="PAV1"/>
    <s v="DISJ_PAV1"/>
    <s v="DISJ"/>
    <s v="Construct"/>
    <n v="4"/>
    <s v="apto"/>
    <m/>
    <n v="27"/>
    <x v="19"/>
    <n v="0"/>
    <n v="0"/>
    <x v="0"/>
    <n v="0"/>
    <d v="2022-02-17T00:00:00"/>
    <d v="2022-02-21T00:00:00"/>
    <n v="27"/>
    <x v="8"/>
    <n v="1400"/>
  </r>
  <r>
    <s v="1.2.2.16"/>
    <x v="21"/>
    <x v="19"/>
    <s v="Pintura Interna - 1ªdmãoPAV1"/>
    <x v="1"/>
    <s v="TIPO"/>
    <n v="5"/>
    <d v="2022-02-16T00:00:00"/>
    <d v="2022-02-23T00:00:00"/>
    <m/>
    <m/>
    <n v="14799.65"/>
    <n v="0"/>
    <m/>
    <m/>
    <n v="0"/>
    <s v="GEPINT"/>
    <s v="PAV1"/>
    <s v="GEPINT_PAV1"/>
    <s v="PINT"/>
    <s v="Construct"/>
    <n v="476.74"/>
    <s v="m²"/>
    <m/>
    <n v="27"/>
    <x v="20"/>
    <n v="0"/>
    <n v="0"/>
    <x v="0"/>
    <n v="0"/>
    <d v="2022-02-22T00:00:00"/>
    <d v="2022-02-28T00:00:00"/>
    <n v="28"/>
    <x v="9"/>
    <n v="14799.65"/>
  </r>
  <r>
    <s v="1.2.2.18"/>
    <x v="22"/>
    <x v="20"/>
    <s v="LouçasPAV1"/>
    <x v="1"/>
    <s v="TIPO"/>
    <n v="5"/>
    <d v="2022-02-23T00:00:00"/>
    <d v="2022-03-02T00:00:00"/>
    <m/>
    <m/>
    <n v="5236.0200000000004"/>
    <n v="0"/>
    <m/>
    <m/>
    <n v="0"/>
    <s v="LOU"/>
    <s v="PAV1"/>
    <s v="LOU_PAV1"/>
    <s v="LOU"/>
    <s v="Construct"/>
    <n v="16"/>
    <s v="und"/>
    <m/>
    <n v="28"/>
    <x v="21"/>
    <n v="0"/>
    <n v="0"/>
    <x v="0"/>
    <n v="0"/>
    <d v="2022-03-10T00:00:00"/>
    <d v="2022-03-14T00:00:00"/>
    <n v="30"/>
    <x v="10"/>
    <n v="5236.0200000000004"/>
  </r>
  <r>
    <s v="1.2.2.19"/>
    <x v="23"/>
    <x v="21"/>
    <s v="Portas de MadeiraPAV1"/>
    <x v="1"/>
    <s v="TIPO"/>
    <n v="5"/>
    <d v="2022-03-02T00:00:00"/>
    <d v="2022-03-09T00:00:00"/>
    <m/>
    <m/>
    <n v="10400"/>
    <n v="0"/>
    <m/>
    <m/>
    <n v="0"/>
    <s v="PM"/>
    <s v="PAV1"/>
    <s v="PM_PAV1"/>
    <s v="PM"/>
    <s v="Construct"/>
    <n v="20"/>
    <s v="und"/>
    <m/>
    <n v="29"/>
    <x v="22"/>
    <n v="0"/>
    <n v="0"/>
    <x v="0"/>
    <n v="0"/>
    <d v="2022-03-15T00:00:00"/>
    <d v="2022-03-17T00:00:00"/>
    <n v="31"/>
    <x v="10"/>
    <n v="10400"/>
  </r>
  <r>
    <s v="1.2.2.24"/>
    <x v="24"/>
    <x v="22"/>
    <s v="Esquadria de Ferro CirculaçãoPAV1"/>
    <x v="1"/>
    <s v="TIPO"/>
    <n v="2"/>
    <d v="2022-03-02T00:00:00"/>
    <d v="2022-03-04T00:00:00"/>
    <m/>
    <m/>
    <n v="2054.02"/>
    <n v="0"/>
    <m/>
    <m/>
    <n v="0"/>
    <s v="EF"/>
    <s v="PAV1"/>
    <s v="EF_PAV1"/>
    <s v="EF"/>
    <s v="Construct"/>
    <n v="4.17"/>
    <s v="m"/>
    <m/>
    <n v="29"/>
    <x v="21"/>
    <n v="0"/>
    <n v="0"/>
    <x v="0"/>
    <n v="0"/>
    <d v="2022-03-10T00:00:00"/>
    <d v="2022-03-14T00:00:00"/>
    <n v="30"/>
    <x v="10"/>
    <n v="2054.02"/>
  </r>
  <r>
    <s v="1.2.2.15"/>
    <x v="25"/>
    <x v="23"/>
    <s v="Piso Laminado + RodapéPAV1"/>
    <x v="1"/>
    <s v="TIPO"/>
    <n v="5"/>
    <d v="2022-03-09T00:00:00"/>
    <d v="2022-03-16T00:00:00"/>
    <m/>
    <m/>
    <n v="13171.26"/>
    <n v="0"/>
    <m/>
    <m/>
    <n v="0"/>
    <s v="LAM"/>
    <s v="PAV1"/>
    <s v="LAM_PAV1"/>
    <s v="LAM"/>
    <s v="Construct"/>
    <n v="80.88"/>
    <s v="m²"/>
    <m/>
    <n v="30"/>
    <x v="23"/>
    <n v="0"/>
    <n v="0"/>
    <x v="0"/>
    <n v="0"/>
    <d v="2022-03-22T00:00:00"/>
    <d v="2022-03-28T00:00:00"/>
    <n v="32"/>
    <x v="11"/>
    <n v="13171.26"/>
  </r>
  <r>
    <s v="1.2.2.20"/>
    <x v="26"/>
    <x v="24"/>
    <s v="MetaisPAV1"/>
    <x v="1"/>
    <s v="TIPO"/>
    <n v="2"/>
    <d v="2022-03-28T00:00:00"/>
    <d v="2022-03-30T00:00:00"/>
    <m/>
    <m/>
    <n v="1340.04"/>
    <n v="0"/>
    <m/>
    <m/>
    <n v="0"/>
    <s v="METAIS"/>
    <s v="PAV1"/>
    <s v="METAIS_PAV1"/>
    <s v="METAIS"/>
    <s v="Construct"/>
    <n v="12"/>
    <s v="und"/>
    <m/>
    <n v="33"/>
    <x v="24"/>
    <n v="0"/>
    <n v="0"/>
    <x v="0"/>
    <n v="0"/>
    <d v="2022-03-17T00:00:00"/>
    <d v="2022-03-21T00:00:00"/>
    <n v="31"/>
    <x v="12"/>
    <n v="1340.04"/>
  </r>
  <r>
    <s v="1.2.2.21"/>
    <x v="27"/>
    <x v="25"/>
    <s v="Acabamentos ElétricosPAV1"/>
    <x v="1"/>
    <s v="TIPO"/>
    <n v="2"/>
    <d v="2022-03-28T00:00:00"/>
    <d v="2022-03-30T00:00:00"/>
    <m/>
    <m/>
    <n v="0"/>
    <n v="0"/>
    <m/>
    <m/>
    <n v="0"/>
    <s v="GEPINT"/>
    <s v="PAV1"/>
    <s v="GEPINT_PAV1"/>
    <s v="ACAB"/>
    <s v="Construct"/>
    <n v="4"/>
    <s v="apto"/>
    <m/>
    <n v="33"/>
    <x v="24"/>
    <n v="0"/>
    <n v="0"/>
    <x v="0"/>
    <n v="0"/>
    <d v="2022-03-17T00:00:00"/>
    <d v="2022-03-21T00:00:00"/>
    <n v="31"/>
    <x v="12"/>
    <n v="0"/>
  </r>
  <r>
    <s v="1.2.2.22"/>
    <x v="28"/>
    <x v="26"/>
    <s v="Pintura FinalPAV1"/>
    <x v="1"/>
    <s v="TIPO"/>
    <n v="5"/>
    <d v="2022-03-30T00:00:00"/>
    <d v="2022-04-06T00:00:00"/>
    <m/>
    <m/>
    <n v="3687.38"/>
    <n v="0"/>
    <m/>
    <m/>
    <n v="0"/>
    <s v="GEPINT"/>
    <s v="PAV1"/>
    <s v="GEPINT_PAV1"/>
    <s v="PINTF"/>
    <s v="Construct"/>
    <n v="614.55999999999995"/>
    <s v="m²"/>
    <m/>
    <n v="33"/>
    <x v="25"/>
    <n v="0"/>
    <n v="0"/>
    <x v="0"/>
    <n v="0"/>
    <d v="2022-03-29T00:00:00"/>
    <d v="2022-04-04T00:00:00"/>
    <n v="33"/>
    <x v="1"/>
    <n v="3687.38"/>
  </r>
  <r>
    <s v="1.2.2.23"/>
    <x v="29"/>
    <x v="27"/>
    <s v="Complementação e LimpezaPAV1"/>
    <x v="1"/>
    <s v="TIPO"/>
    <n v="2"/>
    <d v="2022-04-18T00:00:00"/>
    <d v="2022-04-20T00:00:00"/>
    <m/>
    <m/>
    <n v="500"/>
    <n v="0"/>
    <m/>
    <m/>
    <n v="0"/>
    <s v="GEPINT"/>
    <s v="PAV1"/>
    <s v="GEPINT_PAV1"/>
    <s v="COMPL"/>
    <s v="Construct"/>
    <n v="0.25"/>
    <s v="torre"/>
    <m/>
    <n v="36"/>
    <x v="6"/>
    <n v="0"/>
    <n v="0"/>
    <x v="0"/>
    <n v="0"/>
    <d v="2022-04-05T00:00:00"/>
    <d v="2022-04-07T00:00:00"/>
    <n v="34"/>
    <x v="1"/>
    <n v="500"/>
  </r>
  <r>
    <s v="1.3"/>
    <x v="30"/>
    <x v="0"/>
    <s v="PAV2"/>
    <x v="0"/>
    <m/>
    <n v="140"/>
    <d v="2021-10-11T00:00:00"/>
    <d v="2022-04-22T00:00:00"/>
    <m/>
    <m/>
    <m/>
    <n v="0"/>
    <m/>
    <m/>
    <n v="0"/>
    <m/>
    <m/>
    <s v="_"/>
    <n v="0"/>
    <n v="0"/>
    <m/>
    <m/>
    <m/>
    <n v="9"/>
    <x v="6"/>
    <n v="0"/>
    <n v="0"/>
    <x v="0"/>
    <n v="0"/>
    <n v="44480"/>
    <n v="44665"/>
    <n v="9"/>
    <x v="13"/>
    <n v="0"/>
  </r>
  <r>
    <s v="1.3.2.3"/>
    <x v="8"/>
    <x v="6"/>
    <s v="Alvenaria EstruturalPAV2"/>
    <x v="1"/>
    <s v="TIPO"/>
    <n v="5"/>
    <d v="2021-10-11T00:00:00"/>
    <d v="2021-10-15T00:00:00"/>
    <d v="2021-10-18T00:00:00"/>
    <d v="2021-10-22T00:00:00"/>
    <n v="96851.74"/>
    <n v="0"/>
    <m/>
    <m/>
    <n v="1"/>
    <s v="ALV"/>
    <s v="PAV2"/>
    <s v="ALV_PAV2"/>
    <s v="ALV"/>
    <s v="Construct"/>
    <n v="390.7"/>
    <s v="m²"/>
    <n v="1"/>
    <n v="9"/>
    <x v="26"/>
    <n v="96851.74"/>
    <n v="10"/>
    <x v="10"/>
    <n v="96851.74"/>
    <s v=""/>
    <s v=""/>
    <n v="0"/>
    <x v="0"/>
    <n v="0"/>
  </r>
  <r>
    <s v="1.3.2.4"/>
    <x v="9"/>
    <x v="7"/>
    <s v="Estrutura Moldado in LocoPAV2"/>
    <x v="1"/>
    <s v="TIPO"/>
    <n v="5"/>
    <d v="2021-10-18T00:00:00"/>
    <d v="2021-10-22T00:00:00"/>
    <d v="2021-10-25T00:00:00"/>
    <d v="2021-10-29T00:00:00"/>
    <n v="64892.03"/>
    <n v="0"/>
    <m/>
    <m/>
    <n v="1"/>
    <s v="ESTINLOCO"/>
    <s v="PAV2"/>
    <s v="ESTINLOCO_PAV2"/>
    <s v="ESTINLOCO"/>
    <s v="Construct"/>
    <n v="25.44"/>
    <s v="m³"/>
    <n v="1"/>
    <n v="10"/>
    <x v="27"/>
    <n v="64892.03"/>
    <n v="11"/>
    <x v="11"/>
    <n v="64892.03"/>
    <s v=""/>
    <s v=""/>
    <n v="0"/>
    <x v="0"/>
    <n v="0"/>
  </r>
  <r>
    <s v="1.3.2.5"/>
    <x v="10"/>
    <x v="8"/>
    <s v="Instalações HidrossanitáriasPAV2"/>
    <x v="1"/>
    <s v="TIPO"/>
    <n v="5"/>
    <d v="2021-11-08T00:00:00"/>
    <d v="2021-11-12T00:00:00"/>
    <d v="2021-11-29T00:00:00"/>
    <d v="2021-12-04T00:00:00"/>
    <n v="13455.89"/>
    <n v="0"/>
    <m/>
    <m/>
    <n v="1"/>
    <s v="HIDRO"/>
    <s v="PAV2"/>
    <s v="HIDRO_PAV2"/>
    <s v="HIDRO"/>
    <s v="Construct"/>
    <n v="1"/>
    <s v="pvto"/>
    <n v="1"/>
    <n v="13"/>
    <x v="28"/>
    <n v="13455.89"/>
    <n v="16"/>
    <x v="12"/>
    <n v="13455.89"/>
    <s v=""/>
    <s v=""/>
    <n v="0"/>
    <x v="0"/>
    <n v="0"/>
  </r>
  <r>
    <s v="1.3.2.6"/>
    <x v="11"/>
    <x v="9"/>
    <s v="Reboco InternoPAV2"/>
    <x v="1"/>
    <s v="TIPO"/>
    <n v="5"/>
    <d v="2021-11-22T00:00:00"/>
    <d v="2021-11-26T00:00:00"/>
    <d v="2021-11-22T00:00:00"/>
    <d v="2021-11-26T00:00:00"/>
    <n v="984.14"/>
    <n v="0"/>
    <m/>
    <m/>
    <n v="1"/>
    <s v="REBINT"/>
    <s v="PAV2"/>
    <s v="REBINT_PAV2"/>
    <s v="REBINT"/>
    <s v="Construct"/>
    <n v="140.59"/>
    <s v="m²"/>
    <n v="1"/>
    <n v="15"/>
    <x v="29"/>
    <n v="984.14"/>
    <n v="15"/>
    <x v="13"/>
    <n v="984.14"/>
    <s v=""/>
    <s v=""/>
    <n v="0"/>
    <x v="0"/>
    <n v="0"/>
  </r>
  <r>
    <s v="1.3.2.7"/>
    <x v="12"/>
    <x v="10"/>
    <s v="Shaft PAV2"/>
    <x v="1"/>
    <s v="TIPO"/>
    <n v="2"/>
    <d v="2021-12-22T00:00:00"/>
    <d v="2021-12-24T00:00:00"/>
    <d v="2021-12-22T00:00:00"/>
    <d v="2021-12-24T00:00:00"/>
    <n v="3159.37"/>
    <n v="0"/>
    <m/>
    <m/>
    <n v="1"/>
    <s v="SHAFT"/>
    <s v="PAV2"/>
    <s v="SHAFT_PAV2"/>
    <s v="SHAFT"/>
    <s v="Construct"/>
    <n v="10.69"/>
    <s v="m²"/>
    <n v="1"/>
    <n v="19"/>
    <x v="11"/>
    <n v="3159.37"/>
    <n v="19"/>
    <x v="9"/>
    <n v="3159.37"/>
    <s v=""/>
    <s v=""/>
    <n v="0"/>
    <x v="0"/>
    <n v="0"/>
  </r>
  <r>
    <s v="1.3.2.8"/>
    <x v="13"/>
    <x v="11"/>
    <s v="ImpermeabilizaçãoPAV2"/>
    <x v="1"/>
    <s v="TIPO"/>
    <n v="5"/>
    <d v="2021-12-29T00:00:00"/>
    <d v="2022-01-05T00:00:00"/>
    <m/>
    <m/>
    <n v="239.07"/>
    <n v="0"/>
    <m/>
    <m/>
    <n v="0"/>
    <s v="IMP"/>
    <s v="PAV2"/>
    <s v="IMP_PAV2"/>
    <s v="IMP"/>
    <s v="Construct"/>
    <n v="6.08"/>
    <s v="m²"/>
    <n v="0.6"/>
    <n v="20"/>
    <x v="13"/>
    <n v="143.44199999999998"/>
    <n v="0"/>
    <x v="0"/>
    <n v="0"/>
    <d v="2022-01-06T00:00:00"/>
    <d v="2022-01-12T00:00:00"/>
    <n v="21"/>
    <x v="3"/>
    <n v="239.07"/>
  </r>
  <r>
    <s v="1.3.2.9"/>
    <x v="14"/>
    <x v="12"/>
    <s v="CerâmicaPAV2"/>
    <x v="1"/>
    <s v="TIPO"/>
    <n v="5"/>
    <d v="2022-01-05T00:00:00"/>
    <d v="2022-01-12T00:00:00"/>
    <m/>
    <m/>
    <n v="20435.66"/>
    <n v="0"/>
    <m/>
    <m/>
    <n v="0"/>
    <s v="CERAM"/>
    <s v="PAV2"/>
    <s v="CERAM_PAV2"/>
    <s v="CERAM"/>
    <s v="Construct"/>
    <n v="86.26"/>
    <s v="m²"/>
    <m/>
    <n v="21"/>
    <x v="14"/>
    <n v="0"/>
    <n v="0"/>
    <x v="0"/>
    <n v="0"/>
    <d v="2022-01-13T00:00:00"/>
    <d v="2022-01-19T00:00:00"/>
    <n v="22"/>
    <x v="4"/>
    <n v="20435.66"/>
  </r>
  <r>
    <s v="1.3.2.10"/>
    <x v="15"/>
    <x v="13"/>
    <s v="Gesso LisoPAV2"/>
    <x v="1"/>
    <s v="TIPO"/>
    <n v="5"/>
    <d v="2022-01-12T00:00:00"/>
    <d v="2022-01-19T00:00:00"/>
    <m/>
    <m/>
    <n v="6811.28"/>
    <n v="0"/>
    <m/>
    <m/>
    <n v="0"/>
    <s v="GEPINT"/>
    <s v="PAV2"/>
    <s v="GEPINT_PAV2"/>
    <s v="GESSO"/>
    <s v="Construct"/>
    <n v="447.45"/>
    <s v="m²"/>
    <m/>
    <n v="22"/>
    <x v="15"/>
    <n v="0"/>
    <n v="0"/>
    <x v="0"/>
    <n v="0"/>
    <d v="2022-01-20T00:00:00"/>
    <d v="2022-01-26T00:00:00"/>
    <n v="23"/>
    <x v="14"/>
    <n v="6811.28"/>
  </r>
  <r>
    <s v="1.3.2.11"/>
    <x v="16"/>
    <x v="14"/>
    <s v="Esquadria PAV2"/>
    <x v="1"/>
    <s v="TIPO"/>
    <n v="5"/>
    <d v="2022-01-19T00:00:00"/>
    <d v="2022-01-26T00:00:00"/>
    <m/>
    <m/>
    <n v="26500"/>
    <n v="0"/>
    <m/>
    <m/>
    <n v="0"/>
    <s v="ESQ"/>
    <s v="PAV2"/>
    <s v="ESQ_PAV2"/>
    <s v="ESQ"/>
    <s v="Construct"/>
    <n v="21"/>
    <s v="und"/>
    <m/>
    <n v="23"/>
    <x v="16"/>
    <n v="0"/>
    <n v="0"/>
    <x v="0"/>
    <n v="0"/>
    <d v="2022-02-01T00:00:00"/>
    <d v="2022-02-03T00:00:00"/>
    <n v="25"/>
    <x v="5"/>
    <n v="26500"/>
  </r>
  <r>
    <s v="1.3.2.12"/>
    <x v="17"/>
    <x v="15"/>
    <s v="FiaçãoPAV2"/>
    <x v="1"/>
    <s v="TIPO"/>
    <n v="5"/>
    <d v="2022-01-26T00:00:00"/>
    <d v="2022-02-02T00:00:00"/>
    <m/>
    <m/>
    <n v="5134.5200000000004"/>
    <n v="0"/>
    <m/>
    <m/>
    <n v="0"/>
    <s v="GEPINT"/>
    <s v="PAV2"/>
    <s v="GEPINT_PAV2"/>
    <s v="FIA"/>
    <s v="Construct"/>
    <n v="4"/>
    <s v="apto"/>
    <m/>
    <n v="24"/>
    <x v="17"/>
    <n v="0"/>
    <n v="0"/>
    <x v="0"/>
    <n v="0"/>
    <d v="2022-02-08T00:00:00"/>
    <d v="2022-02-14T00:00:00"/>
    <n v="26"/>
    <x v="7"/>
    <n v="5134.5200000000004"/>
  </r>
  <r>
    <s v="1.3.2.13"/>
    <x v="18"/>
    <x v="16"/>
    <s v="ForroPAV2"/>
    <x v="1"/>
    <s v="TIPO"/>
    <n v="5"/>
    <d v="2022-02-02T00:00:00"/>
    <d v="2022-02-09T00:00:00"/>
    <m/>
    <m/>
    <n v="2297.4899999999998"/>
    <n v="0"/>
    <m/>
    <m/>
    <n v="0"/>
    <s v="FOR"/>
    <s v="PAV2"/>
    <s v="FOR_PAV2"/>
    <s v="FOR"/>
    <s v="Construct"/>
    <n v="29.29"/>
    <s v="m²"/>
    <m/>
    <n v="25"/>
    <x v="18"/>
    <n v="0"/>
    <n v="0"/>
    <x v="0"/>
    <n v="0"/>
    <d v="2022-02-15T00:00:00"/>
    <d v="2022-02-21T00:00:00"/>
    <n v="27"/>
    <x v="8"/>
    <n v="2297.4899999999998"/>
  </r>
  <r>
    <s v="1.3.2.17"/>
    <x v="19"/>
    <x v="17"/>
    <s v="Rev. da CirculaçãoPAV2"/>
    <x v="1"/>
    <s v="TIPO"/>
    <n v="5"/>
    <d v="2022-02-09T00:00:00"/>
    <d v="2022-02-16T00:00:00"/>
    <m/>
    <m/>
    <n v="3617.43"/>
    <n v="0"/>
    <m/>
    <m/>
    <n v="0"/>
    <s v="REVCIRC"/>
    <s v="PAV2"/>
    <s v="REVCIRC_PAV2"/>
    <s v="REVCIRC"/>
    <s v="Construct"/>
    <n v="22.5"/>
    <s v="m²"/>
    <m/>
    <n v="26"/>
    <x v="19"/>
    <n v="0"/>
    <n v="0"/>
    <x v="0"/>
    <n v="0"/>
    <d v="2022-02-22T00:00:00"/>
    <d v="2022-02-28T00:00:00"/>
    <n v="28"/>
    <x v="9"/>
    <n v="3617.43"/>
  </r>
  <r>
    <s v="1.3.2.14"/>
    <x v="20"/>
    <x v="18"/>
    <s v="Disjuntores e CDPAV2"/>
    <x v="1"/>
    <s v="TIPO"/>
    <n v="2"/>
    <d v="2022-02-16T00:00:00"/>
    <d v="2022-02-18T00:00:00"/>
    <m/>
    <m/>
    <n v="1400"/>
    <n v="0"/>
    <m/>
    <m/>
    <n v="0"/>
    <s v="DISJ"/>
    <s v="PAV2"/>
    <s v="DISJ_PAV2"/>
    <s v="DISJ"/>
    <s v="Construct"/>
    <n v="4"/>
    <s v="apto"/>
    <m/>
    <n v="27"/>
    <x v="19"/>
    <n v="0"/>
    <n v="0"/>
    <x v="0"/>
    <n v="0"/>
    <d v="2022-02-22T00:00:00"/>
    <d v="2022-02-24T00:00:00"/>
    <n v="28"/>
    <x v="8"/>
    <n v="1400"/>
  </r>
  <r>
    <s v="1.3.2.16"/>
    <x v="21"/>
    <x v="19"/>
    <s v="Pintura Interna - 1ªdmãoPAV2"/>
    <x v="1"/>
    <s v="TIPO"/>
    <n v="5"/>
    <d v="2022-02-23T00:00:00"/>
    <d v="2022-03-02T00:00:00"/>
    <m/>
    <m/>
    <n v="14799.65"/>
    <n v="0"/>
    <m/>
    <m/>
    <n v="0"/>
    <s v="GEPINT"/>
    <s v="PAV2"/>
    <s v="GEPINT_PAV2"/>
    <s v="PINT"/>
    <s v="Construct"/>
    <n v="476.74"/>
    <s v="m²"/>
    <m/>
    <n v="28"/>
    <x v="21"/>
    <n v="0"/>
    <n v="0"/>
    <x v="0"/>
    <n v="0"/>
    <d v="2022-03-01T00:00:00"/>
    <d v="2022-03-07T00:00:00"/>
    <n v="29"/>
    <x v="15"/>
    <n v="14799.65"/>
  </r>
  <r>
    <s v="1.3.2.18"/>
    <x v="22"/>
    <x v="20"/>
    <s v="LouçasPAV2"/>
    <x v="1"/>
    <s v="TIPO"/>
    <n v="5"/>
    <d v="2022-03-02T00:00:00"/>
    <d v="2022-03-09T00:00:00"/>
    <m/>
    <m/>
    <n v="5236.0200000000004"/>
    <n v="0"/>
    <m/>
    <m/>
    <n v="0"/>
    <s v="LOU"/>
    <s v="PAV2"/>
    <s v="LOU_PAV2"/>
    <s v="LOU"/>
    <s v="Construct"/>
    <n v="16"/>
    <s v="und"/>
    <m/>
    <n v="29"/>
    <x v="22"/>
    <n v="0"/>
    <n v="0"/>
    <x v="0"/>
    <n v="0"/>
    <d v="2022-03-15T00:00:00"/>
    <d v="2022-03-17T00:00:00"/>
    <n v="31"/>
    <x v="10"/>
    <n v="5236.0200000000004"/>
  </r>
  <r>
    <s v="1.3.2.24"/>
    <x v="24"/>
    <x v="22"/>
    <s v="Esquadria de Ferro CirculaçãoPAV2"/>
    <x v="1"/>
    <s v="TIPO"/>
    <n v="2"/>
    <d v="2022-03-02T00:00:00"/>
    <d v="2022-03-04T00:00:00"/>
    <m/>
    <m/>
    <n v="2054.02"/>
    <n v="0"/>
    <m/>
    <m/>
    <n v="0"/>
    <s v="EF"/>
    <s v="PAV2"/>
    <s v="EF_PAV2"/>
    <s v="EF"/>
    <s v="Construct"/>
    <n v="4.17"/>
    <s v="und"/>
    <m/>
    <n v="29"/>
    <x v="21"/>
    <n v="0"/>
    <n v="0"/>
    <x v="0"/>
    <n v="0"/>
    <d v="2022-03-10T00:00:00"/>
    <d v="2022-03-14T00:00:00"/>
    <n v="30"/>
    <x v="10"/>
    <n v="2054.02"/>
  </r>
  <r>
    <s v="1.3.2.19"/>
    <x v="23"/>
    <x v="21"/>
    <s v="Portas de MadeiraPAV2"/>
    <x v="1"/>
    <s v="TIPO"/>
    <n v="5"/>
    <d v="2022-03-09T00:00:00"/>
    <d v="2022-03-16T00:00:00"/>
    <m/>
    <m/>
    <n v="10400"/>
    <n v="0"/>
    <m/>
    <m/>
    <n v="0"/>
    <s v="PM"/>
    <s v="PAV2"/>
    <s v="PM_PAV2"/>
    <s v="PM"/>
    <s v="Construct"/>
    <n v="20"/>
    <s v="m"/>
    <m/>
    <n v="30"/>
    <x v="23"/>
    <n v="0"/>
    <n v="0"/>
    <x v="0"/>
    <n v="0"/>
    <d v="2022-03-17T00:00:00"/>
    <d v="2022-03-21T00:00:00"/>
    <n v="31"/>
    <x v="12"/>
    <n v="10400"/>
  </r>
  <r>
    <s v="1.3.2.15"/>
    <x v="25"/>
    <x v="23"/>
    <s v="Piso Laminado + RodapéPAV2"/>
    <x v="1"/>
    <s v="TIPO"/>
    <n v="5"/>
    <d v="2022-03-16T00:00:00"/>
    <d v="2022-03-23T00:00:00"/>
    <m/>
    <m/>
    <n v="13171.26"/>
    <n v="0"/>
    <m/>
    <m/>
    <n v="0"/>
    <s v="LAM"/>
    <s v="PAV2"/>
    <s v="LAM_PAV2"/>
    <s v="LAM"/>
    <s v="Construct"/>
    <n v="80.88"/>
    <s v="m²"/>
    <m/>
    <n v="31"/>
    <x v="30"/>
    <n v="0"/>
    <n v="0"/>
    <x v="0"/>
    <n v="0"/>
    <d v="2022-03-29T00:00:00"/>
    <d v="2022-04-04T00:00:00"/>
    <n v="33"/>
    <x v="1"/>
    <n v="13171.26"/>
  </r>
  <r>
    <s v="1.3.2.20"/>
    <x v="26"/>
    <x v="24"/>
    <s v="MetaisPAV2"/>
    <x v="1"/>
    <s v="TIPO"/>
    <n v="2"/>
    <d v="2022-03-30T00:00:00"/>
    <d v="2022-04-01T00:00:00"/>
    <m/>
    <m/>
    <n v="1340.04"/>
    <n v="0"/>
    <m/>
    <m/>
    <n v="0"/>
    <s v="METAIS"/>
    <s v="PAV2"/>
    <s v="METAIS_PAV2"/>
    <s v="METAIS"/>
    <s v="Construct"/>
    <n v="12"/>
    <s v="und"/>
    <m/>
    <n v="33"/>
    <x v="24"/>
    <n v="0"/>
    <n v="0"/>
    <x v="0"/>
    <n v="0"/>
    <d v="2022-03-22T00:00:00"/>
    <d v="2022-03-24T00:00:00"/>
    <n v="32"/>
    <x v="12"/>
    <n v="1340.04"/>
  </r>
  <r>
    <s v="1.3.2.21"/>
    <x v="27"/>
    <x v="25"/>
    <s v="Acabamentos ElétricosPAV2"/>
    <x v="1"/>
    <s v="TIPO"/>
    <n v="2"/>
    <d v="2022-03-30T00:00:00"/>
    <d v="2022-04-01T00:00:00"/>
    <m/>
    <m/>
    <n v="0"/>
    <n v="0"/>
    <m/>
    <m/>
    <n v="0"/>
    <s v="GEPINT"/>
    <s v="PAV2"/>
    <s v="GEPINT_PAV2"/>
    <s v="ACAB"/>
    <s v="Construct"/>
    <n v="4"/>
    <s v="apto"/>
    <m/>
    <n v="33"/>
    <x v="24"/>
    <n v="0"/>
    <n v="0"/>
    <x v="0"/>
    <n v="0"/>
    <d v="2022-03-22T00:00:00"/>
    <d v="2022-03-24T00:00:00"/>
    <n v="32"/>
    <x v="12"/>
    <n v="0"/>
  </r>
  <r>
    <s v="1.3.2.22"/>
    <x v="28"/>
    <x v="26"/>
    <s v="Pintura FinalPAV2"/>
    <x v="1"/>
    <s v="TIPO"/>
    <n v="5"/>
    <d v="2022-04-06T00:00:00"/>
    <d v="2022-04-13T00:00:00"/>
    <m/>
    <m/>
    <n v="3687.38"/>
    <n v="0"/>
    <m/>
    <m/>
    <n v="0"/>
    <s v="GEPINT"/>
    <s v="PAV2"/>
    <s v="GEPINT_PAV2"/>
    <s v="PINTF"/>
    <s v="Construct"/>
    <n v="614.55999999999995"/>
    <s v="m²"/>
    <m/>
    <n v="34"/>
    <x v="31"/>
    <n v="0"/>
    <n v="0"/>
    <x v="0"/>
    <n v="0"/>
    <d v="2022-04-05T00:00:00"/>
    <d v="2022-04-11T00:00:00"/>
    <n v="34"/>
    <x v="13"/>
    <n v="3687.38"/>
  </r>
  <r>
    <s v="1.3.2.23"/>
    <x v="29"/>
    <x v="27"/>
    <s v="Complementação e LimpezaPAV2"/>
    <x v="1"/>
    <s v="TIPO"/>
    <n v="2"/>
    <d v="2022-04-20T00:00:00"/>
    <d v="2022-04-22T00:00:00"/>
    <m/>
    <m/>
    <n v="500"/>
    <n v="0"/>
    <m/>
    <m/>
    <n v="0"/>
    <s v="GEPINT"/>
    <s v="PAV2"/>
    <s v="GEPINT_PAV2"/>
    <s v="COMPL"/>
    <s v="Construct"/>
    <n v="0.25"/>
    <s v="torre"/>
    <m/>
    <n v="36"/>
    <x v="6"/>
    <n v="0"/>
    <n v="0"/>
    <x v="0"/>
    <n v="0"/>
    <d v="2022-04-12T00:00:00"/>
    <d v="2022-04-14T00:00:00"/>
    <n v="35"/>
    <x v="13"/>
    <n v="500"/>
  </r>
  <r>
    <s v="1.4"/>
    <x v="31"/>
    <x v="0"/>
    <s v="PAV3"/>
    <x v="0"/>
    <m/>
    <n v="132"/>
    <d v="2021-10-25T00:00:00"/>
    <d v="2022-04-27T00:00:00"/>
    <m/>
    <m/>
    <m/>
    <n v="0"/>
    <m/>
    <m/>
    <n v="0"/>
    <m/>
    <m/>
    <s v="_"/>
    <n v="0"/>
    <n v="0"/>
    <m/>
    <m/>
    <m/>
    <n v="11"/>
    <x v="0"/>
    <n v="0"/>
    <n v="0"/>
    <x v="0"/>
    <n v="0"/>
    <n v="44494"/>
    <n v="44672"/>
    <n v="11"/>
    <x v="16"/>
    <n v="0"/>
  </r>
  <r>
    <s v="1.4.2.3"/>
    <x v="8"/>
    <x v="6"/>
    <s v="Alvenaria EstruturalPAV3"/>
    <x v="1"/>
    <s v="TIPO"/>
    <n v="5"/>
    <d v="2021-10-25T00:00:00"/>
    <d v="2021-10-29T00:00:00"/>
    <d v="2021-11-01T00:00:00"/>
    <d v="2021-11-05T00:00:00"/>
    <n v="96851.74"/>
    <n v="0"/>
    <m/>
    <m/>
    <n v="1"/>
    <s v="ALV"/>
    <s v="PAV3"/>
    <s v="ALV_PAV3"/>
    <s v="ALV"/>
    <s v="Construct"/>
    <n v="390.7"/>
    <s v="m²"/>
    <n v="1"/>
    <n v="11"/>
    <x v="32"/>
    <n v="96851.74"/>
    <n v="12"/>
    <x v="14"/>
    <n v="96851.74"/>
    <s v=""/>
    <s v=""/>
    <n v="0"/>
    <x v="0"/>
    <n v="0"/>
  </r>
  <r>
    <s v="1.4.2.4"/>
    <x v="9"/>
    <x v="7"/>
    <s v="Estrutura Moldado in LocoPAV3"/>
    <x v="1"/>
    <s v="TIPO"/>
    <n v="5"/>
    <d v="2021-11-01T00:00:00"/>
    <d v="2021-11-05T00:00:00"/>
    <d v="2021-11-08T00:00:00"/>
    <d v="2021-11-12T00:00:00"/>
    <n v="64892.03"/>
    <n v="0"/>
    <m/>
    <m/>
    <n v="1"/>
    <s v="ESTINLOCO"/>
    <s v="PAV3"/>
    <s v="ESTINLOCO_PAV3"/>
    <s v="ESTINLOCO"/>
    <s v="Construct"/>
    <n v="25.44"/>
    <s v="m³"/>
    <n v="1"/>
    <n v="12"/>
    <x v="9"/>
    <n v="64892.03"/>
    <n v="13"/>
    <x v="15"/>
    <n v="64892.03"/>
    <s v=""/>
    <s v=""/>
    <n v="0"/>
    <x v="0"/>
    <n v="0"/>
  </r>
  <r>
    <s v="1.4.2.5"/>
    <x v="10"/>
    <x v="8"/>
    <s v="Instalações HidrossanitáriasPAV3"/>
    <x v="1"/>
    <s v="TIPO"/>
    <n v="5"/>
    <d v="2021-11-15T00:00:00"/>
    <d v="2021-11-19T00:00:00"/>
    <d v="2021-11-22T00:00:00"/>
    <d v="2021-11-26T00:00:00"/>
    <n v="13455.89"/>
    <n v="0"/>
    <m/>
    <m/>
    <n v="1"/>
    <s v="HIDRO"/>
    <s v="PAV3"/>
    <s v="HIDRO_PAV3"/>
    <s v="HIDRO"/>
    <s v="Construct"/>
    <n v="1"/>
    <s v="pvto"/>
    <n v="1"/>
    <n v="14"/>
    <x v="10"/>
    <n v="13455.89"/>
    <n v="15"/>
    <x v="13"/>
    <n v="13455.89"/>
    <s v=""/>
    <s v=""/>
    <n v="0"/>
    <x v="0"/>
    <n v="0"/>
  </r>
  <r>
    <s v="1.4.2.6"/>
    <x v="11"/>
    <x v="9"/>
    <s v="Reboco InternoPAV3"/>
    <x v="1"/>
    <s v="TIPO"/>
    <n v="5"/>
    <d v="2021-11-29T00:00:00"/>
    <d v="2021-12-03T00:00:00"/>
    <d v="2021-11-29T00:00:00"/>
    <d v="2021-12-03T00:00:00"/>
    <n v="984.14"/>
    <n v="0"/>
    <m/>
    <m/>
    <n v="1"/>
    <s v="REBINT"/>
    <s v="PAV3"/>
    <s v="REBINT_PAV3"/>
    <s v="REBINT"/>
    <s v="Construct"/>
    <n v="140.59"/>
    <s v="m²"/>
    <n v="1"/>
    <n v="16"/>
    <x v="33"/>
    <n v="984.14"/>
    <n v="16"/>
    <x v="12"/>
    <n v="984.14"/>
    <s v=""/>
    <s v=""/>
    <n v="0"/>
    <x v="0"/>
    <n v="0"/>
  </r>
  <r>
    <s v="1.4.2.7"/>
    <x v="12"/>
    <x v="10"/>
    <s v="Shaft PAV3"/>
    <x v="1"/>
    <s v="TIPO"/>
    <n v="2"/>
    <d v="2021-12-27T00:00:00"/>
    <d v="2021-12-29T00:00:00"/>
    <d v="2021-12-27T00:00:00"/>
    <m/>
    <n v="3159.37"/>
    <n v="0"/>
    <m/>
    <m/>
    <n v="0"/>
    <s v="SHAFT"/>
    <s v="PAV3"/>
    <s v="SHAFT_PAV3"/>
    <s v="SHAFT"/>
    <s v="Construct"/>
    <n v="10.69"/>
    <s v="m²"/>
    <n v="1"/>
    <n v="20"/>
    <x v="12"/>
    <n v="3159.37"/>
    <n v="20"/>
    <x v="0"/>
    <n v="0"/>
    <d v="2022-01-03T00:00:00"/>
    <d v="2022-01-05T00:00:00"/>
    <n v="21"/>
    <x v="2"/>
    <n v="3159.37"/>
  </r>
  <r>
    <s v="1.4.2.8"/>
    <x v="13"/>
    <x v="11"/>
    <s v="ImpermeabilizaçãoPAV3"/>
    <x v="1"/>
    <s v="TIPO"/>
    <n v="5"/>
    <d v="2022-01-05T00:00:00"/>
    <d v="2022-01-12T00:00:00"/>
    <m/>
    <m/>
    <n v="239.07"/>
    <n v="0"/>
    <m/>
    <m/>
    <n v="0"/>
    <s v="IMP"/>
    <s v="PAV3"/>
    <s v="IMP_PAV3"/>
    <s v="IMP"/>
    <s v="Construct"/>
    <n v="6.08"/>
    <s v="m²"/>
    <m/>
    <n v="21"/>
    <x v="14"/>
    <n v="0"/>
    <n v="0"/>
    <x v="0"/>
    <n v="0"/>
    <d v="2022-01-13T00:00:00"/>
    <d v="2022-01-19T00:00:00"/>
    <n v="22"/>
    <x v="4"/>
    <n v="239.07"/>
  </r>
  <r>
    <s v="1.4.2.9"/>
    <x v="14"/>
    <x v="12"/>
    <s v="CerâmicaPAV3"/>
    <x v="1"/>
    <s v="TIPO"/>
    <n v="5"/>
    <d v="2022-01-12T00:00:00"/>
    <d v="2022-01-19T00:00:00"/>
    <m/>
    <m/>
    <n v="20435.66"/>
    <n v="0"/>
    <m/>
    <m/>
    <n v="0"/>
    <s v="CERAM"/>
    <s v="PAV3"/>
    <s v="CERAM_PAV3"/>
    <s v="CERAM"/>
    <s v="Construct"/>
    <n v="86.26"/>
    <s v="m²"/>
    <m/>
    <n v="22"/>
    <x v="15"/>
    <n v="0"/>
    <n v="0"/>
    <x v="0"/>
    <n v="0"/>
    <d v="2022-01-20T00:00:00"/>
    <d v="2022-01-26T00:00:00"/>
    <n v="23"/>
    <x v="14"/>
    <n v="20435.66"/>
  </r>
  <r>
    <s v="1.4.2.10"/>
    <x v="15"/>
    <x v="13"/>
    <s v="Gesso LisoPAV3"/>
    <x v="1"/>
    <s v="TIPO"/>
    <n v="5"/>
    <d v="2022-01-19T00:00:00"/>
    <d v="2022-01-26T00:00:00"/>
    <m/>
    <m/>
    <n v="6811.28"/>
    <n v="0"/>
    <m/>
    <m/>
    <n v="0"/>
    <s v="GEPINT"/>
    <s v="PAV3"/>
    <s v="GEPINT_PAV3"/>
    <s v="GESSO"/>
    <s v="Construct"/>
    <n v="447.45"/>
    <s v="m²"/>
    <m/>
    <n v="23"/>
    <x v="16"/>
    <n v="0"/>
    <n v="0"/>
    <x v="0"/>
    <n v="0"/>
    <d v="2022-01-27T00:00:00"/>
    <d v="2022-02-02T00:00:00"/>
    <n v="24"/>
    <x v="5"/>
    <n v="6811.28"/>
  </r>
  <r>
    <s v="1.4.2.11"/>
    <x v="16"/>
    <x v="14"/>
    <s v="Esquadria PAV3"/>
    <x v="1"/>
    <s v="TIPO"/>
    <n v="5"/>
    <d v="2022-01-26T00:00:00"/>
    <d v="2022-02-02T00:00:00"/>
    <m/>
    <m/>
    <n v="26500"/>
    <n v="0"/>
    <m/>
    <m/>
    <n v="0"/>
    <s v="ESQ"/>
    <s v="PAV3"/>
    <s v="ESQ_PAV3"/>
    <s v="ESQ"/>
    <s v="Construct"/>
    <n v="21"/>
    <s v="und"/>
    <m/>
    <n v="24"/>
    <x v="17"/>
    <n v="0"/>
    <n v="0"/>
    <x v="0"/>
    <n v="0"/>
    <d v="2022-02-03T00:00:00"/>
    <d v="2022-02-07T00:00:00"/>
    <n v="25"/>
    <x v="6"/>
    <n v="26500"/>
  </r>
  <r>
    <s v="1.4.2.12"/>
    <x v="17"/>
    <x v="15"/>
    <s v="FiaçãoPAV3"/>
    <x v="1"/>
    <s v="TIPO"/>
    <n v="5"/>
    <d v="2022-02-02T00:00:00"/>
    <d v="2022-02-09T00:00:00"/>
    <m/>
    <m/>
    <n v="5134.5200000000004"/>
    <n v="0"/>
    <m/>
    <m/>
    <n v="0"/>
    <s v="GEPINT"/>
    <s v="PAV3"/>
    <s v="GEPINT_PAV3"/>
    <s v="FIA"/>
    <s v="Construct"/>
    <n v="4"/>
    <s v="apto"/>
    <m/>
    <n v="25"/>
    <x v="18"/>
    <n v="0"/>
    <n v="0"/>
    <x v="0"/>
    <n v="0"/>
    <d v="2022-02-15T00:00:00"/>
    <d v="2022-02-21T00:00:00"/>
    <n v="27"/>
    <x v="8"/>
    <n v="5134.5200000000004"/>
  </r>
  <r>
    <s v="1.4.2.13"/>
    <x v="18"/>
    <x v="16"/>
    <s v="ForroPAV3"/>
    <x v="1"/>
    <s v="TIPO"/>
    <n v="5"/>
    <d v="2022-02-09T00:00:00"/>
    <d v="2022-02-16T00:00:00"/>
    <m/>
    <m/>
    <n v="2297.4899999999998"/>
    <n v="0"/>
    <m/>
    <m/>
    <n v="0"/>
    <s v="FOR"/>
    <s v="PAV3"/>
    <s v="FOR_PAV3"/>
    <s v="FOR"/>
    <s v="Construct"/>
    <n v="29.29"/>
    <s v="m²"/>
    <m/>
    <n v="26"/>
    <x v="19"/>
    <n v="0"/>
    <n v="0"/>
    <x v="0"/>
    <n v="0"/>
    <d v="2022-02-22T00:00:00"/>
    <d v="2022-02-28T00:00:00"/>
    <n v="28"/>
    <x v="9"/>
    <n v="2297.4899999999998"/>
  </r>
  <r>
    <s v="1.4.2.17"/>
    <x v="19"/>
    <x v="17"/>
    <s v="Rev. da CirculaçãoPAV3"/>
    <x v="1"/>
    <s v="TIPO"/>
    <n v="5"/>
    <d v="2022-02-16T00:00:00"/>
    <d v="2022-02-23T00:00:00"/>
    <m/>
    <m/>
    <n v="3617.43"/>
    <n v="0"/>
    <m/>
    <m/>
    <n v="0"/>
    <s v="REVCIRC"/>
    <s v="PAV3"/>
    <s v="REVCIRC_PAV3"/>
    <s v="REVCIRC"/>
    <s v="Construct"/>
    <n v="22.5"/>
    <s v="m²"/>
    <m/>
    <n v="27"/>
    <x v="20"/>
    <n v="0"/>
    <n v="0"/>
    <x v="0"/>
    <n v="0"/>
    <d v="2022-03-01T00:00:00"/>
    <d v="2022-03-07T00:00:00"/>
    <n v="29"/>
    <x v="15"/>
    <n v="3617.43"/>
  </r>
  <r>
    <s v="1.4.2.14"/>
    <x v="20"/>
    <x v="18"/>
    <s v="Disjuntores e CDPAV3"/>
    <x v="1"/>
    <s v="TIPO"/>
    <n v="2"/>
    <d v="2022-02-21T00:00:00"/>
    <d v="2022-02-23T00:00:00"/>
    <m/>
    <m/>
    <n v="1400"/>
    <n v="0"/>
    <m/>
    <m/>
    <n v="0"/>
    <s v="DISJ"/>
    <s v="PAV3"/>
    <s v="DISJ_PAV3"/>
    <s v="DISJ"/>
    <s v="Construct"/>
    <n v="4"/>
    <s v="apto"/>
    <m/>
    <n v="28"/>
    <x v="20"/>
    <n v="0"/>
    <n v="0"/>
    <x v="0"/>
    <n v="0"/>
    <d v="2022-02-24T00:00:00"/>
    <d v="2022-02-28T00:00:00"/>
    <n v="28"/>
    <x v="9"/>
    <n v="1400"/>
  </r>
  <r>
    <s v="1.4.2.16"/>
    <x v="21"/>
    <x v="19"/>
    <s v="Pintura Interna - 1ªdmãoPAV3"/>
    <x v="1"/>
    <s v="TIPO"/>
    <n v="5"/>
    <d v="2022-03-02T00:00:00"/>
    <d v="2022-03-09T00:00:00"/>
    <m/>
    <m/>
    <n v="14799.65"/>
    <n v="0"/>
    <m/>
    <m/>
    <n v="0"/>
    <s v="GEPINT"/>
    <s v="PAV3"/>
    <s v="GEPINT_PAV3"/>
    <s v="PINT"/>
    <s v="Construct"/>
    <n v="476.74"/>
    <s v="m²"/>
    <m/>
    <n v="29"/>
    <x v="22"/>
    <n v="0"/>
    <n v="0"/>
    <x v="0"/>
    <n v="0"/>
    <d v="2022-03-08T00:00:00"/>
    <d v="2022-03-14T00:00:00"/>
    <n v="30"/>
    <x v="10"/>
    <n v="14799.65"/>
  </r>
  <r>
    <s v="1.4.2.24"/>
    <x v="24"/>
    <x v="22"/>
    <s v="Esquadria de Ferro CirculaçãoPAV3"/>
    <x v="1"/>
    <s v="TIPO"/>
    <n v="2"/>
    <d v="2022-03-02T00:00:00"/>
    <d v="2022-03-04T00:00:00"/>
    <m/>
    <m/>
    <n v="2054.02"/>
    <n v="0"/>
    <m/>
    <m/>
    <n v="0"/>
    <s v="EF"/>
    <s v="PAV3"/>
    <s v="EF_PAV3"/>
    <s v="EF"/>
    <s v="Construct"/>
    <n v="4.17"/>
    <s v="und"/>
    <m/>
    <n v="29"/>
    <x v="21"/>
    <n v="0"/>
    <n v="0"/>
    <x v="0"/>
    <n v="0"/>
    <d v="2022-03-10T00:00:00"/>
    <d v="2022-03-14T00:00:00"/>
    <n v="30"/>
    <x v="10"/>
    <n v="2054.02"/>
  </r>
  <r>
    <s v="1.4.2.18"/>
    <x v="22"/>
    <x v="20"/>
    <s v="LouçasPAV3"/>
    <x v="1"/>
    <s v="TIPO"/>
    <n v="5"/>
    <d v="2022-03-09T00:00:00"/>
    <d v="2022-03-16T00:00:00"/>
    <m/>
    <m/>
    <n v="5236.0200000000004"/>
    <n v="0"/>
    <m/>
    <m/>
    <n v="0"/>
    <s v="LOU"/>
    <s v="PAV3"/>
    <s v="LOU_PAV3"/>
    <s v="LOU"/>
    <s v="Construct"/>
    <n v="16"/>
    <s v="und"/>
    <m/>
    <n v="30"/>
    <x v="23"/>
    <n v="0"/>
    <n v="0"/>
    <x v="0"/>
    <n v="0"/>
    <d v="2022-03-17T00:00:00"/>
    <d v="2022-03-21T00:00:00"/>
    <n v="31"/>
    <x v="12"/>
    <n v="5236.0200000000004"/>
  </r>
  <r>
    <s v="1.4.2.19"/>
    <x v="23"/>
    <x v="21"/>
    <s v="Portas de MadeiraPAV3"/>
    <x v="1"/>
    <s v="TIPO"/>
    <n v="5"/>
    <d v="2022-03-16T00:00:00"/>
    <d v="2022-03-23T00:00:00"/>
    <m/>
    <m/>
    <n v="10400"/>
    <n v="0"/>
    <m/>
    <m/>
    <n v="0"/>
    <s v="PM"/>
    <s v="PAV3"/>
    <s v="PM_PAV3"/>
    <s v="PM"/>
    <s v="Construct"/>
    <n v="20"/>
    <s v="m"/>
    <m/>
    <n v="31"/>
    <x v="30"/>
    <n v="0"/>
    <n v="0"/>
    <x v="0"/>
    <n v="0"/>
    <d v="2022-03-22T00:00:00"/>
    <d v="2022-03-24T00:00:00"/>
    <n v="32"/>
    <x v="12"/>
    <n v="10400"/>
  </r>
  <r>
    <s v="1.4.2.15"/>
    <x v="25"/>
    <x v="23"/>
    <s v="Piso Laminado + RodapéPAV3"/>
    <x v="1"/>
    <s v="TIPO"/>
    <n v="5"/>
    <d v="2022-03-23T00:00:00"/>
    <d v="2022-03-30T00:00:00"/>
    <m/>
    <m/>
    <n v="13171.26"/>
    <n v="0"/>
    <m/>
    <m/>
    <n v="0"/>
    <s v="LAM"/>
    <s v="PAV3"/>
    <s v="LAM_PAV3"/>
    <s v="LAM"/>
    <s v="Construct"/>
    <n v="80.88"/>
    <s v="m²"/>
    <m/>
    <n v="32"/>
    <x v="24"/>
    <n v="0"/>
    <n v="0"/>
    <x v="0"/>
    <n v="0"/>
    <d v="2022-04-05T00:00:00"/>
    <d v="2022-04-11T00:00:00"/>
    <n v="34"/>
    <x v="13"/>
    <n v="13171.26"/>
  </r>
  <r>
    <s v="1.4.2.20"/>
    <x v="26"/>
    <x v="24"/>
    <s v="MetaisPAV3"/>
    <x v="1"/>
    <s v="TIPO"/>
    <n v="2"/>
    <d v="2022-04-04T00:00:00"/>
    <d v="2022-04-06T00:00:00"/>
    <m/>
    <m/>
    <n v="1340.04"/>
    <n v="0"/>
    <m/>
    <m/>
    <n v="0"/>
    <s v="METAIS"/>
    <s v="PAV3"/>
    <s v="METAIS_PAV3"/>
    <s v="METAIS"/>
    <s v="Construct"/>
    <n v="12"/>
    <s v="und"/>
    <m/>
    <n v="34"/>
    <x v="25"/>
    <n v="0"/>
    <n v="0"/>
    <x v="0"/>
    <n v="0"/>
    <d v="2022-03-24T00:00:00"/>
    <d v="2022-03-28T00:00:00"/>
    <n v="32"/>
    <x v="11"/>
    <n v="1340.04"/>
  </r>
  <r>
    <s v="1.4.2.21"/>
    <x v="27"/>
    <x v="25"/>
    <s v="Acabamentos ElétricosPAV3"/>
    <x v="1"/>
    <s v="TIPO"/>
    <n v="2"/>
    <d v="2022-04-04T00:00:00"/>
    <d v="2022-04-06T00:00:00"/>
    <m/>
    <m/>
    <n v="0"/>
    <n v="0"/>
    <m/>
    <m/>
    <n v="0"/>
    <s v="GEPINT"/>
    <s v="PAV3"/>
    <s v="GEPINT_PAV3"/>
    <s v="ACAB"/>
    <s v="Construct"/>
    <n v="4"/>
    <s v="apto"/>
    <m/>
    <n v="34"/>
    <x v="25"/>
    <n v="0"/>
    <n v="0"/>
    <x v="0"/>
    <n v="0"/>
    <d v="2022-03-24T00:00:00"/>
    <d v="2022-03-28T00:00:00"/>
    <n v="32"/>
    <x v="11"/>
    <n v="0"/>
  </r>
  <r>
    <s v="1.4.2.22"/>
    <x v="28"/>
    <x v="26"/>
    <s v="Pintura FinalPAV3"/>
    <x v="1"/>
    <s v="TIPO"/>
    <n v="5"/>
    <d v="2022-04-13T00:00:00"/>
    <d v="2022-04-20T00:00:00"/>
    <m/>
    <m/>
    <n v="3687.38"/>
    <n v="0"/>
    <m/>
    <m/>
    <n v="0"/>
    <s v="GEPINT"/>
    <s v="PAV3"/>
    <s v="GEPINT_PAV3"/>
    <s v="PINTF"/>
    <s v="Construct"/>
    <n v="614.55999999999995"/>
    <s v="m²"/>
    <m/>
    <n v="35"/>
    <x v="6"/>
    <n v="0"/>
    <n v="0"/>
    <x v="0"/>
    <n v="0"/>
    <d v="2022-04-12T00:00:00"/>
    <d v="2022-04-18T00:00:00"/>
    <n v="35"/>
    <x v="16"/>
    <n v="3687.38"/>
  </r>
  <r>
    <s v="1.4.2.23"/>
    <x v="29"/>
    <x v="27"/>
    <s v="Complementação e LimpezaPAV3"/>
    <x v="1"/>
    <s v="TIPO"/>
    <n v="2"/>
    <d v="2022-04-25T00:00:00"/>
    <d v="2022-04-27T00:00:00"/>
    <m/>
    <m/>
    <n v="500"/>
    <n v="0"/>
    <m/>
    <m/>
    <n v="0"/>
    <s v="GEPINT"/>
    <s v="PAV3"/>
    <s v="GEPINT_PAV3"/>
    <s v="COMPL"/>
    <s v="Construct"/>
    <n v="0.25"/>
    <s v="torre"/>
    <m/>
    <n v="37"/>
    <x v="0"/>
    <n v="0"/>
    <n v="0"/>
    <x v="0"/>
    <n v="0"/>
    <d v="2022-04-19T00:00:00"/>
    <d v="2022-04-21T00:00:00"/>
    <n v="36"/>
    <x v="16"/>
    <n v="500"/>
  </r>
  <r>
    <s v="1.5"/>
    <x v="32"/>
    <x v="0"/>
    <s v="PAV4"/>
    <x v="0"/>
    <m/>
    <n v="125"/>
    <d v="2021-11-08T00:00:00"/>
    <d v="2022-04-29T00:00:00"/>
    <m/>
    <m/>
    <m/>
    <n v="0"/>
    <m/>
    <m/>
    <n v="0"/>
    <m/>
    <m/>
    <s v="_"/>
    <n v="0"/>
    <n v="0"/>
    <m/>
    <m/>
    <m/>
    <n v="13"/>
    <x v="0"/>
    <n v="0"/>
    <n v="0"/>
    <x v="0"/>
    <n v="0"/>
    <n v="44508"/>
    <n v="44679"/>
    <n v="13"/>
    <x v="17"/>
    <n v="0"/>
  </r>
  <r>
    <s v="1.5.2.3"/>
    <x v="8"/>
    <x v="6"/>
    <s v="Alvenaria EstruturalPAV4"/>
    <x v="1"/>
    <s v="TIPO"/>
    <n v="5"/>
    <d v="2021-11-08T00:00:00"/>
    <d v="2021-11-12T00:00:00"/>
    <d v="2021-11-15T00:00:00"/>
    <d v="2021-11-19T00:00:00"/>
    <n v="96851.74"/>
    <n v="0"/>
    <m/>
    <m/>
    <n v="1"/>
    <s v="ALV"/>
    <s v="PAV4"/>
    <s v="ALV_PAV4"/>
    <s v="ALV"/>
    <s v="Construct"/>
    <n v="390.7"/>
    <s v="m²"/>
    <n v="1"/>
    <n v="13"/>
    <x v="28"/>
    <n v="96851.74"/>
    <n v="14"/>
    <x v="8"/>
    <n v="96851.74"/>
    <s v=""/>
    <s v=""/>
    <n v="0"/>
    <x v="0"/>
    <n v="0"/>
  </r>
  <r>
    <s v="1.5.2.4"/>
    <x v="9"/>
    <x v="7"/>
    <s v="Estrutura Moldado in LocoPAV4"/>
    <x v="1"/>
    <s v="TIPO"/>
    <n v="5"/>
    <d v="2021-11-15T00:00:00"/>
    <d v="2021-11-19T00:00:00"/>
    <d v="2021-11-22T00:00:00"/>
    <d v="2021-11-26T00:00:00"/>
    <n v="68188.039999999994"/>
    <n v="0"/>
    <m/>
    <m/>
    <n v="1"/>
    <s v="ESTINLOCO"/>
    <s v="PAV4"/>
    <s v="ESTINLOCO_PAV4"/>
    <s v="ESTINLOCO"/>
    <s v="Construct"/>
    <n v="26.73"/>
    <s v="m³"/>
    <n v="1"/>
    <n v="14"/>
    <x v="10"/>
    <n v="68188.039999999994"/>
    <n v="15"/>
    <x v="13"/>
    <n v="68188.039999999994"/>
    <s v=""/>
    <s v=""/>
    <n v="0"/>
    <x v="0"/>
    <n v="0"/>
  </r>
  <r>
    <s v="1.5.2.5"/>
    <x v="10"/>
    <x v="8"/>
    <s v="Instalações HidrossanitáriasPAV4"/>
    <x v="1"/>
    <s v="TIPO"/>
    <n v="5"/>
    <d v="2021-11-22T00:00:00"/>
    <d v="2021-11-26T00:00:00"/>
    <d v="2021-11-15T00:00:00"/>
    <d v="2021-11-19T00:00:00"/>
    <n v="13455.89"/>
    <n v="0"/>
    <m/>
    <m/>
    <n v="1"/>
    <s v="HIDRO"/>
    <s v="PAV4"/>
    <s v="HIDRO_PAV4"/>
    <s v="HIDRO"/>
    <s v="Construct"/>
    <n v="1"/>
    <s v="pvto"/>
    <n v="1"/>
    <n v="15"/>
    <x v="29"/>
    <n v="13455.89"/>
    <n v="14"/>
    <x v="8"/>
    <n v="13455.89"/>
    <s v=""/>
    <s v=""/>
    <n v="0"/>
    <x v="0"/>
    <n v="0"/>
  </r>
  <r>
    <s v="1.5.2.6"/>
    <x v="11"/>
    <x v="9"/>
    <s v="Reboco InternoPAV4"/>
    <x v="1"/>
    <s v="TIPO"/>
    <n v="5"/>
    <d v="2021-12-06T00:00:00"/>
    <d v="2021-12-10T00:00:00"/>
    <d v="2021-12-06T00:00:00"/>
    <d v="2021-12-10T00:00:00"/>
    <n v="984.14"/>
    <n v="0"/>
    <m/>
    <m/>
    <n v="1"/>
    <s v="REBINT"/>
    <s v="PAV4"/>
    <s v="REBINT_PAV4"/>
    <s v="REBINT"/>
    <s v="Construct"/>
    <n v="140.59"/>
    <s v="m²"/>
    <n v="1"/>
    <n v="17"/>
    <x v="34"/>
    <n v="984.14"/>
    <n v="17"/>
    <x v="7"/>
    <n v="984.14"/>
    <s v=""/>
    <s v=""/>
    <n v="0"/>
    <x v="0"/>
    <n v="0"/>
  </r>
  <r>
    <s v="1.5.2.7"/>
    <x v="12"/>
    <x v="10"/>
    <s v="Shaft PAV4"/>
    <x v="1"/>
    <s v="TIPO"/>
    <n v="2"/>
    <d v="2021-12-29T00:00:00"/>
    <d v="2021-12-31T00:00:00"/>
    <m/>
    <m/>
    <n v="3159.37"/>
    <n v="0"/>
    <m/>
    <m/>
    <n v="0"/>
    <s v="SHAFT"/>
    <s v="PAV4"/>
    <s v="SHAFT_PAV4"/>
    <s v="SHAFT"/>
    <s v="Construct"/>
    <n v="10.69"/>
    <s v="m²"/>
    <n v="1"/>
    <n v="20"/>
    <x v="12"/>
    <n v="3159.37"/>
    <n v="0"/>
    <x v="0"/>
    <n v="0"/>
    <d v="2022-01-05T00:00:00"/>
    <d v="2022-01-07T00:00:00"/>
    <n v="21"/>
    <x v="2"/>
    <n v="3159.37"/>
  </r>
  <r>
    <s v="1.5.2.8"/>
    <x v="13"/>
    <x v="11"/>
    <s v="ImpermeabilizaçãoPAV4"/>
    <x v="1"/>
    <s v="TIPO"/>
    <n v="5"/>
    <d v="2022-01-12T00:00:00"/>
    <d v="2022-01-19T00:00:00"/>
    <m/>
    <m/>
    <n v="239.07"/>
    <n v="0"/>
    <m/>
    <m/>
    <n v="0"/>
    <s v="IMP"/>
    <s v="PAV4"/>
    <s v="IMP_PAV4"/>
    <s v="IMP"/>
    <s v="Construct"/>
    <n v="6.08"/>
    <s v="m²"/>
    <m/>
    <n v="22"/>
    <x v="15"/>
    <n v="0"/>
    <n v="0"/>
    <x v="0"/>
    <n v="0"/>
    <d v="2022-01-20T00:00:00"/>
    <d v="2022-01-26T00:00:00"/>
    <n v="23"/>
    <x v="14"/>
    <n v="239.07"/>
  </r>
  <r>
    <s v="1.5.2.9"/>
    <x v="14"/>
    <x v="12"/>
    <s v="CerâmicaPAV4"/>
    <x v="1"/>
    <s v="TIPO"/>
    <n v="5"/>
    <d v="2022-01-19T00:00:00"/>
    <d v="2022-01-26T00:00:00"/>
    <m/>
    <m/>
    <n v="20435.66"/>
    <n v="0"/>
    <m/>
    <m/>
    <n v="0"/>
    <s v="CERAM"/>
    <s v="PAV4"/>
    <s v="CERAM_PAV4"/>
    <s v="CERAM"/>
    <s v="Construct"/>
    <n v="86.26"/>
    <s v="m²"/>
    <m/>
    <n v="23"/>
    <x v="16"/>
    <n v="0"/>
    <n v="0"/>
    <x v="0"/>
    <n v="0"/>
    <d v="2022-01-27T00:00:00"/>
    <d v="2022-02-02T00:00:00"/>
    <n v="24"/>
    <x v="5"/>
    <n v="20435.66"/>
  </r>
  <r>
    <s v="1.5.2.10"/>
    <x v="15"/>
    <x v="13"/>
    <s v="Gesso LisoPAV4"/>
    <x v="1"/>
    <s v="TIPO"/>
    <n v="5"/>
    <d v="2022-01-26T00:00:00"/>
    <d v="2022-02-02T00:00:00"/>
    <m/>
    <m/>
    <n v="6811.28"/>
    <n v="0"/>
    <m/>
    <m/>
    <n v="0"/>
    <s v="GEPINT"/>
    <s v="PAV4"/>
    <s v="GEPINT_PAV4"/>
    <s v="GESSO"/>
    <s v="Construct"/>
    <n v="447.45"/>
    <s v="m²"/>
    <m/>
    <n v="24"/>
    <x v="17"/>
    <n v="0"/>
    <n v="0"/>
    <x v="0"/>
    <n v="0"/>
    <d v="2022-02-03T00:00:00"/>
    <d v="2022-02-09T00:00:00"/>
    <n v="25"/>
    <x v="6"/>
    <n v="6811.28"/>
  </r>
  <r>
    <s v="1.5.2.11"/>
    <x v="16"/>
    <x v="14"/>
    <s v="Esquadria PAV4"/>
    <x v="1"/>
    <s v="TIPO"/>
    <n v="5"/>
    <d v="2022-02-02T00:00:00"/>
    <d v="2022-02-09T00:00:00"/>
    <m/>
    <m/>
    <n v="26500"/>
    <n v="0"/>
    <m/>
    <m/>
    <n v="0"/>
    <s v="ESQ"/>
    <s v="PAV4"/>
    <s v="ESQ_PAV4"/>
    <s v="ESQ"/>
    <s v="Construct"/>
    <n v="21"/>
    <s v="und"/>
    <m/>
    <n v="25"/>
    <x v="18"/>
    <n v="0"/>
    <n v="0"/>
    <x v="0"/>
    <n v="0"/>
    <d v="2022-02-10T00:00:00"/>
    <d v="2022-02-14T00:00:00"/>
    <n v="26"/>
    <x v="7"/>
    <n v="26500"/>
  </r>
  <r>
    <s v="1.5.2.12"/>
    <x v="17"/>
    <x v="15"/>
    <s v="FiaçãoPAV4"/>
    <x v="1"/>
    <s v="TIPO"/>
    <n v="5"/>
    <d v="2022-02-09T00:00:00"/>
    <d v="2022-02-16T00:00:00"/>
    <m/>
    <m/>
    <n v="5134.5200000000004"/>
    <n v="0"/>
    <m/>
    <m/>
    <n v="0"/>
    <s v="GEPINT"/>
    <s v="PAV4"/>
    <s v="GEPINT_PAV4"/>
    <s v="FIA"/>
    <s v="Construct"/>
    <n v="4"/>
    <s v="apto"/>
    <m/>
    <n v="26"/>
    <x v="19"/>
    <n v="0"/>
    <n v="0"/>
    <x v="0"/>
    <n v="0"/>
    <d v="2022-02-22T00:00:00"/>
    <d v="2022-02-28T00:00:00"/>
    <n v="28"/>
    <x v="9"/>
    <n v="5134.5200000000004"/>
  </r>
  <r>
    <s v="1.5.2.13"/>
    <x v="18"/>
    <x v="16"/>
    <s v="ForroPAV4"/>
    <x v="1"/>
    <s v="TIPO"/>
    <n v="5"/>
    <d v="2022-02-16T00:00:00"/>
    <d v="2022-02-23T00:00:00"/>
    <m/>
    <m/>
    <n v="2297.4899999999998"/>
    <n v="0"/>
    <m/>
    <m/>
    <n v="0"/>
    <s v="FOR"/>
    <s v="PAV4"/>
    <s v="FOR_PAV4"/>
    <s v="FOR"/>
    <s v="Construct"/>
    <n v="29.29"/>
    <s v="m²"/>
    <m/>
    <n v="27"/>
    <x v="20"/>
    <n v="0"/>
    <n v="0"/>
    <x v="0"/>
    <n v="0"/>
    <d v="2022-03-01T00:00:00"/>
    <d v="2022-03-07T00:00:00"/>
    <n v="29"/>
    <x v="15"/>
    <n v="2297.4899999999998"/>
  </r>
  <r>
    <s v="1.5.2.14"/>
    <x v="20"/>
    <x v="18"/>
    <s v="Disjuntores e CDPAV4"/>
    <x v="1"/>
    <s v="TIPO"/>
    <n v="2"/>
    <d v="2022-02-23T00:00:00"/>
    <d v="2022-02-25T00:00:00"/>
    <m/>
    <m/>
    <n v="1400"/>
    <n v="0"/>
    <m/>
    <m/>
    <n v="0"/>
    <s v="DISJ"/>
    <s v="PAV4"/>
    <s v="DISJ_PAV4"/>
    <s v="DISJ"/>
    <s v="Construct"/>
    <n v="4"/>
    <s v="m²"/>
    <m/>
    <n v="28"/>
    <x v="20"/>
    <n v="0"/>
    <n v="0"/>
    <x v="0"/>
    <n v="0"/>
    <d v="2022-03-01T00:00:00"/>
    <d v="2022-03-03T00:00:00"/>
    <n v="29"/>
    <x v="9"/>
    <n v="1400"/>
  </r>
  <r>
    <s v="1.5.2.17"/>
    <x v="19"/>
    <x v="17"/>
    <s v="Rev. da CirculaçãoPAV4"/>
    <x v="1"/>
    <s v="TIPO"/>
    <n v="5"/>
    <d v="2022-02-23T00:00:00"/>
    <d v="2022-03-02T00:00:00"/>
    <m/>
    <m/>
    <n v="3617.43"/>
    <n v="0"/>
    <m/>
    <m/>
    <n v="0"/>
    <s v="REVCIRC"/>
    <s v="PAV4"/>
    <s v="REVCIRC_PAV4"/>
    <s v="REVCIRC"/>
    <s v="Construct"/>
    <n v="22.5"/>
    <s v="apto"/>
    <m/>
    <n v="28"/>
    <x v="21"/>
    <n v="0"/>
    <n v="0"/>
    <x v="0"/>
    <n v="0"/>
    <d v="2022-03-08T00:00:00"/>
    <d v="2022-03-14T00:00:00"/>
    <n v="30"/>
    <x v="10"/>
    <n v="3617.43"/>
  </r>
  <r>
    <s v="1.5.2.24"/>
    <x v="24"/>
    <x v="22"/>
    <s v="Esquadria de Ferro CirculaçãoPAV4"/>
    <x v="1"/>
    <s v="TIPO"/>
    <n v="2"/>
    <d v="2022-03-02T00:00:00"/>
    <d v="2022-03-04T00:00:00"/>
    <m/>
    <m/>
    <n v="2054.02"/>
    <n v="0"/>
    <m/>
    <m/>
    <n v="0"/>
    <s v="EF"/>
    <s v="PAV4"/>
    <s v="EF_PAV4"/>
    <s v="EF"/>
    <s v="Construct"/>
    <n v="4.17"/>
    <s v="m²"/>
    <m/>
    <n v="29"/>
    <x v="21"/>
    <n v="0"/>
    <n v="0"/>
    <x v="0"/>
    <n v="0"/>
    <d v="2022-03-10T00:00:00"/>
    <d v="2022-03-14T00:00:00"/>
    <n v="30"/>
    <x v="10"/>
    <n v="2054.02"/>
  </r>
  <r>
    <s v="1.5.2.16"/>
    <x v="21"/>
    <x v="19"/>
    <s v="Pintura Interna - 1ªdmãoPAV4"/>
    <x v="1"/>
    <s v="TIPO"/>
    <n v="5"/>
    <d v="2022-03-09T00:00:00"/>
    <d v="2022-03-16T00:00:00"/>
    <m/>
    <m/>
    <n v="14799.65"/>
    <n v="0"/>
    <m/>
    <m/>
    <n v="0"/>
    <s v="GEPINT"/>
    <s v="PAV4"/>
    <s v="GEPINT_PAV4"/>
    <s v="PINT"/>
    <s v="Construct"/>
    <n v="476.74"/>
    <s v="und"/>
    <m/>
    <n v="30"/>
    <x v="23"/>
    <n v="0"/>
    <n v="0"/>
    <x v="0"/>
    <n v="0"/>
    <d v="2022-03-15T00:00:00"/>
    <d v="2022-03-21T00:00:00"/>
    <n v="31"/>
    <x v="12"/>
    <n v="14799.65"/>
  </r>
  <r>
    <s v="1.5.2.18"/>
    <x v="22"/>
    <x v="20"/>
    <s v="LouçasPAV4"/>
    <x v="1"/>
    <s v="TIPO"/>
    <n v="5"/>
    <d v="2022-03-16T00:00:00"/>
    <d v="2022-03-23T00:00:00"/>
    <m/>
    <m/>
    <n v="5236.0200000000004"/>
    <n v="0"/>
    <m/>
    <m/>
    <n v="0"/>
    <s v="LOU"/>
    <s v="PAV4"/>
    <s v="LOU_PAV4"/>
    <s v="LOU"/>
    <s v="Construct"/>
    <n v="16"/>
    <s v="und"/>
    <m/>
    <n v="31"/>
    <x v="30"/>
    <n v="0"/>
    <n v="0"/>
    <x v="0"/>
    <n v="0"/>
    <d v="2022-03-22T00:00:00"/>
    <d v="2022-03-24T00:00:00"/>
    <n v="32"/>
    <x v="12"/>
    <n v="5236.0200000000004"/>
  </r>
  <r>
    <s v="1.5.2.19"/>
    <x v="23"/>
    <x v="21"/>
    <s v="Portas de MadeiraPAV4"/>
    <x v="1"/>
    <s v="TIPO"/>
    <n v="5"/>
    <d v="2022-03-23T00:00:00"/>
    <d v="2022-03-30T00:00:00"/>
    <m/>
    <m/>
    <n v="10400"/>
    <n v="0"/>
    <m/>
    <m/>
    <n v="0"/>
    <s v="PM"/>
    <s v="PAV4"/>
    <s v="PM_PAV4"/>
    <s v="PM"/>
    <s v="Construct"/>
    <n v="20"/>
    <s v="m"/>
    <m/>
    <n v="32"/>
    <x v="24"/>
    <n v="0"/>
    <n v="0"/>
    <x v="0"/>
    <n v="0"/>
    <d v="2022-03-24T00:00:00"/>
    <d v="2022-03-28T00:00:00"/>
    <n v="32"/>
    <x v="11"/>
    <n v="10400"/>
  </r>
  <r>
    <s v="1.5.2.15"/>
    <x v="25"/>
    <x v="23"/>
    <s v="Piso Laminado + RodapéPAV4"/>
    <x v="1"/>
    <s v="TIPO"/>
    <n v="5"/>
    <d v="2022-03-30T00:00:00"/>
    <d v="2022-04-06T00:00:00"/>
    <m/>
    <m/>
    <n v="13171.26"/>
    <n v="0"/>
    <m/>
    <m/>
    <n v="0"/>
    <s v="LAM"/>
    <s v="PAV4"/>
    <s v="LAM_PAV4"/>
    <s v="LAM"/>
    <s v="Construct"/>
    <n v="80.88"/>
    <s v="m²"/>
    <m/>
    <n v="33"/>
    <x v="25"/>
    <n v="0"/>
    <n v="0"/>
    <x v="0"/>
    <n v="0"/>
    <d v="2022-04-12T00:00:00"/>
    <d v="2022-04-18T00:00:00"/>
    <n v="35"/>
    <x v="16"/>
    <n v="13171.26"/>
  </r>
  <r>
    <s v="1.5.2.20"/>
    <x v="26"/>
    <x v="24"/>
    <s v="MetaisPAV4"/>
    <x v="1"/>
    <s v="TIPO"/>
    <n v="2"/>
    <d v="2022-04-06T00:00:00"/>
    <d v="2022-04-08T00:00:00"/>
    <m/>
    <m/>
    <n v="1340.04"/>
    <n v="0"/>
    <m/>
    <m/>
    <n v="0"/>
    <s v="METAIS"/>
    <s v="PAV4"/>
    <s v="METAIS_PAV4"/>
    <s v="METAIS"/>
    <s v="Construct"/>
    <n v="12"/>
    <s v="und"/>
    <m/>
    <n v="34"/>
    <x v="25"/>
    <n v="0"/>
    <n v="0"/>
    <x v="0"/>
    <n v="0"/>
    <d v="2022-03-29T00:00:00"/>
    <d v="2022-03-31T00:00:00"/>
    <n v="33"/>
    <x v="11"/>
    <n v="1340.04"/>
  </r>
  <r>
    <s v="1.5.2.21"/>
    <x v="27"/>
    <x v="25"/>
    <s v="Acabamentos ElétricosPAV4"/>
    <x v="1"/>
    <s v="TIPO"/>
    <n v="2"/>
    <d v="2022-04-06T00:00:00"/>
    <d v="2022-04-08T00:00:00"/>
    <m/>
    <m/>
    <n v="0"/>
    <n v="0"/>
    <m/>
    <m/>
    <n v="0"/>
    <s v="GEPINT"/>
    <s v="PAV4"/>
    <s v="GEPINT_PAV4"/>
    <s v="ACAB"/>
    <s v="Construct"/>
    <n v="4"/>
    <s v="apto"/>
    <m/>
    <n v="34"/>
    <x v="25"/>
    <n v="0"/>
    <n v="0"/>
    <x v="0"/>
    <n v="0"/>
    <d v="2022-03-29T00:00:00"/>
    <d v="2022-03-31T00:00:00"/>
    <n v="33"/>
    <x v="11"/>
    <n v="0"/>
  </r>
  <r>
    <s v="1.5.2.22"/>
    <x v="28"/>
    <x v="26"/>
    <s v="Pintura FinalPAV4"/>
    <x v="1"/>
    <s v="TIPO"/>
    <n v="5"/>
    <d v="2022-04-20T00:00:00"/>
    <d v="2022-04-27T00:00:00"/>
    <m/>
    <m/>
    <n v="3687.38"/>
    <n v="0"/>
    <m/>
    <m/>
    <n v="0"/>
    <s v="GEPINT"/>
    <s v="PAV4"/>
    <s v="GEPINT_PAV4"/>
    <s v="PINTF"/>
    <s v="Construct"/>
    <n v="614.55999999999995"/>
    <s v="m²"/>
    <m/>
    <n v="36"/>
    <x v="0"/>
    <n v="0"/>
    <n v="0"/>
    <x v="0"/>
    <n v="0"/>
    <d v="2022-04-19T00:00:00"/>
    <d v="2022-04-25T00:00:00"/>
    <n v="36"/>
    <x v="17"/>
    <n v="3687.38"/>
  </r>
  <r>
    <s v="1.5.2.23"/>
    <x v="29"/>
    <x v="27"/>
    <s v="Complementação e LimpezaPAV4"/>
    <x v="1"/>
    <s v="TIPO"/>
    <n v="2"/>
    <d v="2022-04-27T00:00:00"/>
    <d v="2022-04-29T00:00:00"/>
    <m/>
    <m/>
    <n v="500"/>
    <n v="0"/>
    <m/>
    <m/>
    <n v="0"/>
    <s v="GEPINT"/>
    <s v="PAV4"/>
    <s v="GEPINT_PAV4"/>
    <s v="COMPL"/>
    <s v="Construct"/>
    <n v="0.25"/>
    <s v="torre"/>
    <m/>
    <n v="37"/>
    <x v="0"/>
    <n v="0"/>
    <n v="0"/>
    <x v="0"/>
    <n v="0"/>
    <d v="2022-04-26T00:00:00"/>
    <d v="2022-04-28T00:00:00"/>
    <n v="37"/>
    <x v="17"/>
    <n v="500"/>
  </r>
  <r>
    <s v="1.6"/>
    <x v="33"/>
    <x v="0"/>
    <s v="COB"/>
    <x v="0"/>
    <m/>
    <n v="25"/>
    <d v="2021-11-22T00:00:00"/>
    <d v="2021-12-24T00:00:00"/>
    <m/>
    <m/>
    <m/>
    <n v="0"/>
    <m/>
    <m/>
    <n v="0"/>
    <m/>
    <m/>
    <s v="_"/>
    <n v="0"/>
    <n v="0"/>
    <m/>
    <m/>
    <m/>
    <n v="15"/>
    <x v="11"/>
    <n v="0"/>
    <n v="0"/>
    <x v="0"/>
    <n v="0"/>
    <n v="44522"/>
    <n v="44554"/>
    <n v="15"/>
    <x v="18"/>
    <n v="0"/>
  </r>
  <r>
    <s v="1.6.3.1"/>
    <x v="8"/>
    <x v="6"/>
    <s v="Alvenaria EstruturalCOB"/>
    <x v="1"/>
    <s v="COBERTURA"/>
    <n v="5"/>
    <d v="2021-11-22T00:00:00"/>
    <d v="2021-11-26T00:00:00"/>
    <d v="2021-11-29T00:00:00"/>
    <d v="2021-12-03T00:00:00"/>
    <n v="20252.84"/>
    <n v="0"/>
    <m/>
    <m/>
    <n v="1"/>
    <s v="ALV"/>
    <s v="COB"/>
    <s v="ALV_COB"/>
    <s v="ALV"/>
    <s v="Construct"/>
    <n v="81.7"/>
    <s v="m²"/>
    <n v="1"/>
    <n v="15"/>
    <x v="29"/>
    <n v="20252.84"/>
    <n v="16"/>
    <x v="12"/>
    <n v="20252.84"/>
    <s v=""/>
    <s v=""/>
    <n v="0"/>
    <x v="0"/>
    <n v="0"/>
  </r>
  <r>
    <s v="1.6.3.2"/>
    <x v="10"/>
    <x v="28"/>
    <s v="Instalações HidrossanitáriasCOB"/>
    <x v="1"/>
    <s v="COBERTURA"/>
    <n v="5"/>
    <d v="2021-11-29T00:00:00"/>
    <d v="2021-12-03T00:00:00"/>
    <d v="2021-11-08T00:00:00"/>
    <d v="2021-11-12T00:00:00"/>
    <n v="0"/>
    <n v="0"/>
    <m/>
    <m/>
    <n v="1"/>
    <s v="HIDRO"/>
    <s v="COB"/>
    <s v="HIDRO_COB"/>
    <s v="HIDRO"/>
    <s v="Construct"/>
    <s v=" -   "/>
    <m/>
    <n v="1"/>
    <n v="16"/>
    <x v="33"/>
    <n v="0"/>
    <n v="13"/>
    <x v="15"/>
    <n v="0"/>
    <s v=""/>
    <s v=""/>
    <n v="0"/>
    <x v="0"/>
    <n v="0"/>
  </r>
  <r>
    <s v="1.6.3.3"/>
    <x v="34"/>
    <x v="29"/>
    <s v="Impermeabilização do TelhadoCOB"/>
    <x v="1"/>
    <s v="COBERTURA"/>
    <n v="5"/>
    <d v="2021-12-06T00:00:00"/>
    <d v="2021-12-10T00:00:00"/>
    <m/>
    <m/>
    <m/>
    <n v="0"/>
    <m/>
    <m/>
    <n v="0.01"/>
    <s v="TELHA"/>
    <s v="COB"/>
    <s v="TELHA_COB"/>
    <s v="IMPTEL"/>
    <s v="Construct"/>
    <s v=" -   "/>
    <m/>
    <n v="1"/>
    <n v="17"/>
    <x v="34"/>
    <n v="0"/>
    <n v="0"/>
    <x v="0"/>
    <n v="0"/>
    <s v=""/>
    <s v=""/>
    <n v="0"/>
    <x v="0"/>
    <n v="0"/>
  </r>
  <r>
    <s v="1.6.3.4"/>
    <x v="35"/>
    <x v="30"/>
    <s v="TelhadoCOB"/>
    <x v="1"/>
    <s v="COBERTURA"/>
    <n v="5"/>
    <d v="2021-12-13T00:00:00"/>
    <d v="2021-12-17T00:00:00"/>
    <d v="2021-12-13T00:00:00"/>
    <d v="2021-12-17T00:00:00"/>
    <n v="51093.03"/>
    <n v="0"/>
    <m/>
    <m/>
    <n v="1"/>
    <s v="TELHA"/>
    <s v="COB"/>
    <s v="TELHA_COB"/>
    <s v="TEL"/>
    <s v="Construct"/>
    <n v="243.7"/>
    <s v="m²"/>
    <n v="1"/>
    <n v="18"/>
    <x v="35"/>
    <n v="51093.03"/>
    <n v="18"/>
    <x v="16"/>
    <n v="51093.03"/>
    <s v=""/>
    <s v=""/>
    <n v="0"/>
    <x v="0"/>
    <n v="0"/>
  </r>
  <r>
    <s v="1.6.3.5"/>
    <x v="36"/>
    <x v="31"/>
    <s v="Algerosas + RufosCOB"/>
    <x v="1"/>
    <s v="COBERTURA"/>
    <n v="5"/>
    <d v="2021-12-20T00:00:00"/>
    <d v="2021-12-24T00:00:00"/>
    <d v="2021-12-20T00:00:00"/>
    <d v="2021-12-24T00:00:00"/>
    <n v="10092.26"/>
    <n v="0"/>
    <m/>
    <m/>
    <n v="1"/>
    <s v="ALV"/>
    <s v="COB"/>
    <s v="ALV_COB"/>
    <s v="ALG"/>
    <s v="Construct"/>
    <n v="75.180000000000007"/>
    <s v="m"/>
    <n v="1"/>
    <n v="19"/>
    <x v="11"/>
    <n v="10092.26"/>
    <n v="19"/>
    <x v="9"/>
    <n v="10092.26"/>
    <s v=""/>
    <s v=""/>
    <n v="0"/>
    <x v="0"/>
    <n v="0"/>
  </r>
  <r>
    <n v="3"/>
    <x v="37"/>
    <x v="0"/>
    <s v="FACHADA"/>
    <x v="0"/>
    <m/>
    <n v="84"/>
    <d v="2021-11-26T00:00:00"/>
    <d v="2022-03-23T00:00:00"/>
    <m/>
    <m/>
    <m/>
    <n v="0"/>
    <m/>
    <m/>
    <n v="0"/>
    <m/>
    <m/>
    <s v="_"/>
    <n v="0"/>
    <n v="0"/>
    <m/>
    <m/>
    <m/>
    <n v="15"/>
    <x v="30"/>
    <n v="0"/>
    <n v="0"/>
    <x v="0"/>
    <n v="0"/>
    <n v="44564"/>
    <n v="44643"/>
    <n v="21"/>
    <x v="12"/>
    <n v="0"/>
  </r>
  <r>
    <s v="3.1"/>
    <x v="38"/>
    <x v="0"/>
    <s v="PANO 1"/>
    <x v="0"/>
    <m/>
    <n v="59"/>
    <d v="2021-11-26T00:00:00"/>
    <d v="2022-02-16T00:00:00"/>
    <m/>
    <m/>
    <m/>
    <n v="0"/>
    <m/>
    <m/>
    <n v="0"/>
    <m/>
    <m/>
    <s v="_"/>
    <n v="0"/>
    <n v="0"/>
    <m/>
    <m/>
    <m/>
    <n v="15"/>
    <x v="19"/>
    <n v="0"/>
    <n v="0"/>
    <x v="0"/>
    <n v="0"/>
    <n v="44564"/>
    <n v="44608"/>
    <n v="21"/>
    <x v="7"/>
    <n v="0"/>
  </r>
  <r>
    <s v="3.1.4.1"/>
    <x v="39"/>
    <x v="32"/>
    <s v="Reboco ExternoPANO1"/>
    <x v="1"/>
    <s v="FACHADA"/>
    <n v="5"/>
    <d v="2021-11-26T00:00:00"/>
    <d v="2021-12-02T00:00:00"/>
    <m/>
    <m/>
    <n v="14038.64"/>
    <n v="0"/>
    <m/>
    <m/>
    <n v="0"/>
    <s v="REVEXT"/>
    <s v="PANO1"/>
    <s v="REVEXT_PANO1"/>
    <s v="REBEXT"/>
    <s v="Construct"/>
    <n v="126.22"/>
    <s v="m²"/>
    <n v="1"/>
    <n v="15"/>
    <x v="33"/>
    <n v="14038.64"/>
    <n v="0"/>
    <x v="0"/>
    <n v="0"/>
    <d v="2022-01-03T00:00:00"/>
    <d v="2022-01-07T00:00:00"/>
    <n v="21"/>
    <x v="2"/>
    <n v="14038.64"/>
  </r>
  <r>
    <s v="3.1.4.2"/>
    <x v="40"/>
    <x v="33"/>
    <s v="Pintura Externa PANO1"/>
    <x v="1"/>
    <s v="FACHADA"/>
    <n v="5"/>
    <d v="2022-02-10T00:00:00"/>
    <d v="2022-02-16T00:00:00"/>
    <m/>
    <m/>
    <n v="6273.9"/>
    <n v="0"/>
    <m/>
    <m/>
    <n v="0"/>
    <s v="REVEXT"/>
    <s v="PANO1"/>
    <s v="REVEXT_PANO1"/>
    <s v="PINTEXT"/>
    <s v="Construct"/>
    <n v="126.22"/>
    <s v="m²"/>
    <m/>
    <n v="26"/>
    <x v="19"/>
    <n v="0"/>
    <n v="0"/>
    <x v="0"/>
    <n v="0"/>
    <d v="2022-02-10T00:00:00"/>
    <d v="2022-02-16T00:00:00"/>
    <n v="26"/>
    <x v="7"/>
    <n v="6273.9"/>
  </r>
  <r>
    <s v="3.2"/>
    <x v="41"/>
    <x v="0"/>
    <s v="PANO 2"/>
    <x v="0"/>
    <m/>
    <n v="59"/>
    <d v="2021-12-03T00:00:00"/>
    <d v="2022-02-23T00:00:00"/>
    <m/>
    <m/>
    <m/>
    <n v="0"/>
    <m/>
    <m/>
    <n v="0"/>
    <m/>
    <m/>
    <s v="_"/>
    <n v="0"/>
    <n v="0"/>
    <m/>
    <m/>
    <m/>
    <n v="16"/>
    <x v="20"/>
    <n v="0"/>
    <n v="0"/>
    <x v="0"/>
    <n v="0"/>
    <n v="44564"/>
    <n v="44615"/>
    <n v="21"/>
    <x v="8"/>
    <n v="0"/>
  </r>
  <r>
    <s v="3.2.4.1"/>
    <x v="39"/>
    <x v="32"/>
    <s v="Reboco ExternoPANO2"/>
    <x v="1"/>
    <s v="FACHADA"/>
    <n v="5"/>
    <d v="2021-12-03T00:00:00"/>
    <d v="2021-12-09T00:00:00"/>
    <m/>
    <m/>
    <n v="15850.42"/>
    <n v="0"/>
    <m/>
    <m/>
    <n v="0"/>
    <s v="REVEXT"/>
    <s v="PANO2"/>
    <s v="REVEXT_PANO2"/>
    <s v="REBEXT"/>
    <s v="Construct"/>
    <n v="142.51"/>
    <s v="m²"/>
    <n v="1"/>
    <n v="16"/>
    <x v="34"/>
    <n v="15850.42"/>
    <n v="0"/>
    <x v="0"/>
    <n v="0"/>
    <d v="2022-01-03T00:00:00"/>
    <d v="2022-01-07T00:00:00"/>
    <n v="21"/>
    <x v="2"/>
    <n v="15850.42"/>
  </r>
  <r>
    <s v="3.2.4.2"/>
    <x v="40"/>
    <x v="33"/>
    <s v="Pintura Externa PANO2"/>
    <x v="1"/>
    <s v="FACHADA"/>
    <n v="5"/>
    <d v="2022-02-17T00:00:00"/>
    <d v="2022-02-23T00:00:00"/>
    <m/>
    <m/>
    <n v="7083.6"/>
    <n v="0"/>
    <m/>
    <m/>
    <n v="0"/>
    <s v="REVEXT"/>
    <s v="PANO2"/>
    <s v="REVEXT_PANO2"/>
    <s v="PINTEXT"/>
    <s v="Construct"/>
    <n v="142.51"/>
    <s v="m²"/>
    <m/>
    <n v="27"/>
    <x v="20"/>
    <n v="0"/>
    <n v="0"/>
    <x v="0"/>
    <n v="0"/>
    <d v="2022-02-17T00:00:00"/>
    <d v="2022-02-23T00:00:00"/>
    <n v="27"/>
    <x v="8"/>
    <n v="7083.6"/>
  </r>
  <r>
    <s v="3.3"/>
    <x v="42"/>
    <x v="0"/>
    <s v="PANO 3"/>
    <x v="0"/>
    <m/>
    <n v="59"/>
    <d v="2021-12-10T00:00:00"/>
    <d v="2022-03-02T00:00:00"/>
    <m/>
    <m/>
    <m/>
    <n v="0"/>
    <m/>
    <m/>
    <n v="0"/>
    <m/>
    <m/>
    <s v="_"/>
    <n v="0"/>
    <n v="0"/>
    <m/>
    <m/>
    <m/>
    <n v="17"/>
    <x v="21"/>
    <n v="0"/>
    <n v="0"/>
    <x v="0"/>
    <n v="0"/>
    <n v="44571"/>
    <n v="44622"/>
    <n v="22"/>
    <x v="9"/>
    <n v="0"/>
  </r>
  <r>
    <s v="3.3.4.1"/>
    <x v="39"/>
    <x v="32"/>
    <s v="Reboco ExternoPANO3"/>
    <x v="1"/>
    <s v="FACHADA"/>
    <n v="5"/>
    <d v="2021-12-10T00:00:00"/>
    <d v="2021-12-16T00:00:00"/>
    <m/>
    <m/>
    <n v="12614.4"/>
    <n v="0"/>
    <m/>
    <m/>
    <n v="0"/>
    <s v="REVEXT"/>
    <s v="PANO3"/>
    <s v="REVEXT_PANO3"/>
    <s v="REBEXT"/>
    <s v="Construct"/>
    <n v="113.41"/>
    <s v="m²"/>
    <n v="1"/>
    <n v="17"/>
    <x v="35"/>
    <n v="12614.4"/>
    <n v="0"/>
    <x v="0"/>
    <n v="0"/>
    <d v="2022-01-10T00:00:00"/>
    <d v="2022-01-14T00:00:00"/>
    <n v="22"/>
    <x v="3"/>
    <n v="12614.4"/>
  </r>
  <r>
    <s v="3.3.4.2"/>
    <x v="40"/>
    <x v="33"/>
    <s v="Pintura Externa PANO3"/>
    <x v="1"/>
    <s v="FACHADA"/>
    <n v="5"/>
    <d v="2022-02-24T00:00:00"/>
    <d v="2022-03-02T00:00:00"/>
    <m/>
    <m/>
    <n v="5637.41"/>
    <n v="0"/>
    <m/>
    <m/>
    <n v="0"/>
    <s v="REVEXT"/>
    <s v="PANO3"/>
    <s v="REVEXT_PANO3"/>
    <s v="PINTEXT"/>
    <s v="Construct"/>
    <n v="113.41"/>
    <s v="m²"/>
    <m/>
    <n v="28"/>
    <x v="21"/>
    <n v="0"/>
    <n v="0"/>
    <x v="0"/>
    <n v="0"/>
    <d v="2022-02-24T00:00:00"/>
    <d v="2022-03-02T00:00:00"/>
    <n v="28"/>
    <x v="9"/>
    <n v="5637.41"/>
  </r>
  <r>
    <s v="3.4"/>
    <x v="43"/>
    <x v="0"/>
    <s v="PANO 4"/>
    <x v="0"/>
    <m/>
    <n v="59"/>
    <d v="2021-12-17T00:00:00"/>
    <d v="2022-03-09T00:00:00"/>
    <m/>
    <m/>
    <m/>
    <n v="0"/>
    <m/>
    <m/>
    <n v="0"/>
    <m/>
    <m/>
    <s v="_"/>
    <n v="0"/>
    <n v="0"/>
    <m/>
    <m/>
    <m/>
    <n v="18"/>
    <x v="22"/>
    <n v="0"/>
    <n v="0"/>
    <x v="0"/>
    <n v="0"/>
    <n v="44571"/>
    <n v="44629"/>
    <n v="22"/>
    <x v="15"/>
    <n v="0"/>
  </r>
  <r>
    <s v="3.4.4.1"/>
    <x v="39"/>
    <x v="32"/>
    <s v="Reboco ExternoPANO4"/>
    <x v="1"/>
    <s v="FACHADA"/>
    <n v="5"/>
    <d v="2021-12-17T00:00:00"/>
    <d v="2021-12-23T00:00:00"/>
    <m/>
    <m/>
    <n v="13885.55"/>
    <n v="0"/>
    <m/>
    <m/>
    <n v="0"/>
    <s v="REVEXT"/>
    <s v="PANO4"/>
    <s v="REVEXT_PANO4"/>
    <s v="REBEXT"/>
    <s v="Construct"/>
    <n v="124.84"/>
    <s v="m²"/>
    <n v="1"/>
    <n v="18"/>
    <x v="11"/>
    <n v="13885.55"/>
    <n v="0"/>
    <x v="0"/>
    <n v="0"/>
    <d v="2022-01-10T00:00:00"/>
    <d v="2022-01-14T00:00:00"/>
    <n v="22"/>
    <x v="3"/>
    <n v="13885.55"/>
  </r>
  <r>
    <s v="3.4.4.2"/>
    <x v="40"/>
    <x v="33"/>
    <s v="Pintura Externa PANO4"/>
    <x v="1"/>
    <s v="FACHADA"/>
    <n v="5"/>
    <d v="2022-03-03T00:00:00"/>
    <d v="2022-03-09T00:00:00"/>
    <m/>
    <m/>
    <n v="6205.49"/>
    <n v="0"/>
    <m/>
    <m/>
    <n v="0"/>
    <s v="REVEXT"/>
    <s v="PANO4"/>
    <s v="REVEXT_PANO4"/>
    <s v="PINTEXT"/>
    <s v="Construct"/>
    <n v="124.84"/>
    <s v="m²"/>
    <m/>
    <n v="29"/>
    <x v="22"/>
    <n v="0"/>
    <n v="0"/>
    <x v="0"/>
    <n v="0"/>
    <d v="2022-03-03T00:00:00"/>
    <d v="2022-03-09T00:00:00"/>
    <n v="29"/>
    <x v="15"/>
    <n v="6205.49"/>
  </r>
  <r>
    <s v="3.5"/>
    <x v="44"/>
    <x v="0"/>
    <s v="PANO 5"/>
    <x v="0"/>
    <m/>
    <n v="59"/>
    <d v="2021-12-24T00:00:00"/>
    <d v="2022-03-16T00:00:00"/>
    <m/>
    <m/>
    <m/>
    <n v="0"/>
    <m/>
    <m/>
    <n v="0"/>
    <m/>
    <m/>
    <s v="_"/>
    <n v="0"/>
    <n v="0"/>
    <m/>
    <m/>
    <m/>
    <n v="19"/>
    <x v="23"/>
    <n v="0"/>
    <n v="0"/>
    <x v="0"/>
    <n v="0"/>
    <n v="44578"/>
    <n v="44636"/>
    <n v="23"/>
    <x v="10"/>
    <n v="0"/>
  </r>
  <r>
    <s v="3.5.4.1"/>
    <x v="39"/>
    <x v="32"/>
    <s v="Reboco ExternoPANO5"/>
    <x v="1"/>
    <s v="FACHADA"/>
    <n v="5"/>
    <d v="2021-12-24T00:00:00"/>
    <d v="2021-12-30T00:00:00"/>
    <m/>
    <m/>
    <n v="15397.94"/>
    <n v="0"/>
    <m/>
    <m/>
    <n v="0"/>
    <s v="REVEXT"/>
    <s v="PANO5"/>
    <s v="REVEXT_PANO5"/>
    <s v="REBEXT"/>
    <s v="Construct"/>
    <n v="138.44"/>
    <s v="m²"/>
    <n v="1"/>
    <n v="19"/>
    <x v="12"/>
    <n v="15397.94"/>
    <n v="0"/>
    <x v="0"/>
    <n v="0"/>
    <d v="2022-01-17T00:00:00"/>
    <d v="2022-01-21T00:00:00"/>
    <n v="23"/>
    <x v="4"/>
    <n v="15397.94"/>
  </r>
  <r>
    <s v="3.5.4.2"/>
    <x v="40"/>
    <x v="33"/>
    <s v="Pintura Externa PANO5"/>
    <x v="1"/>
    <s v="FACHADA"/>
    <n v="5"/>
    <d v="2022-03-10T00:00:00"/>
    <d v="2022-03-16T00:00:00"/>
    <m/>
    <m/>
    <n v="6881.38"/>
    <n v="0"/>
    <m/>
    <m/>
    <n v="0"/>
    <s v="REVEXT"/>
    <s v="PANO5"/>
    <s v="REVEXT_PANO5"/>
    <s v="PINTEXT"/>
    <s v="Construct"/>
    <n v="138.44"/>
    <s v="m²"/>
    <m/>
    <n v="30"/>
    <x v="23"/>
    <n v="0"/>
    <n v="0"/>
    <x v="0"/>
    <n v="0"/>
    <d v="2022-03-10T00:00:00"/>
    <d v="2022-03-16T00:00:00"/>
    <n v="30"/>
    <x v="10"/>
    <n v="6881.38"/>
  </r>
  <r>
    <s v="3.6"/>
    <x v="45"/>
    <x v="0"/>
    <s v="PANO 6"/>
    <x v="0"/>
    <m/>
    <n v="59"/>
    <d v="2021-12-31T00:00:00"/>
    <d v="2022-03-23T00:00:00"/>
    <m/>
    <m/>
    <m/>
    <n v="0"/>
    <m/>
    <m/>
    <n v="0"/>
    <m/>
    <m/>
    <s v="_"/>
    <n v="0"/>
    <n v="0"/>
    <m/>
    <m/>
    <m/>
    <n v="20"/>
    <x v="30"/>
    <n v="0"/>
    <n v="0"/>
    <x v="0"/>
    <n v="0"/>
    <n v="44578"/>
    <n v="44643"/>
    <n v="23"/>
    <x v="12"/>
    <n v="0"/>
  </r>
  <r>
    <s v="3.6.4.1"/>
    <x v="39"/>
    <x v="32"/>
    <s v="Reboco ExternoPANO6"/>
    <x v="1"/>
    <s v="FACHADA"/>
    <n v="5"/>
    <d v="2021-12-31T00:00:00"/>
    <d v="2022-01-06T00:00:00"/>
    <m/>
    <m/>
    <n v="11105.57"/>
    <n v="0"/>
    <m/>
    <m/>
    <n v="0"/>
    <s v="REVEXT"/>
    <s v="PANO6"/>
    <s v="REVEXT_PANO6"/>
    <s v="REBEXT"/>
    <s v="Construct"/>
    <n v="99.85"/>
    <s v="m²"/>
    <n v="0.2"/>
    <n v="20"/>
    <x v="13"/>
    <n v="2221.114"/>
    <n v="0"/>
    <x v="0"/>
    <n v="0"/>
    <d v="2022-01-17T00:00:00"/>
    <d v="2022-01-21T00:00:00"/>
    <n v="23"/>
    <x v="4"/>
    <n v="11105.57"/>
  </r>
  <r>
    <s v="3.6.4.2"/>
    <x v="40"/>
    <x v="33"/>
    <s v="Pintura Externa PANO6"/>
    <x v="1"/>
    <s v="FACHADA"/>
    <n v="5"/>
    <d v="2022-03-17T00:00:00"/>
    <d v="2022-03-23T00:00:00"/>
    <m/>
    <m/>
    <n v="4963.1099999999997"/>
    <n v="0"/>
    <m/>
    <m/>
    <n v="0"/>
    <s v="REVEXT"/>
    <s v="PANO6"/>
    <s v="REVEXT_PANO6"/>
    <s v="PINTEXT"/>
    <s v="Construct"/>
    <n v="99.85"/>
    <s v="m²"/>
    <m/>
    <n v="31"/>
    <x v="30"/>
    <n v="0"/>
    <n v="0"/>
    <x v="0"/>
    <n v="0"/>
    <d v="2022-03-17T00:00:00"/>
    <d v="2022-03-23T00:00:00"/>
    <n v="31"/>
    <x v="12"/>
    <n v="4963.109999999999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n v="1"/>
    <s v="ESTRUTURA/ACABAMENTOS"/>
    <x v="0"/>
    <s v="ESTRUTURA/ACABAMENTOS"/>
    <x v="0"/>
    <m/>
    <n v="185"/>
    <d v="2021-08-16T00:00:00"/>
    <d v="2022-04-29T00:00:00"/>
    <m/>
    <m/>
    <m/>
    <n v="0"/>
    <m/>
    <m/>
    <x v="0"/>
    <m/>
    <x v="0"/>
    <m/>
    <m/>
    <m/>
    <m/>
    <m/>
    <m/>
    <n v="1"/>
    <n v="37"/>
    <n v="0"/>
    <n v="0"/>
    <n v="0"/>
    <n v="0"/>
    <x v="0"/>
    <x v="0"/>
    <n v="0"/>
    <n v="0"/>
    <n v="0"/>
  </r>
  <r>
    <s v="1.1"/>
    <s v="FUND"/>
    <x v="0"/>
    <s v="FUND"/>
    <x v="0"/>
    <m/>
    <n v="30"/>
    <d v="2021-08-16T00:00:00"/>
    <d v="2021-09-24T00:00:00"/>
    <m/>
    <m/>
    <m/>
    <n v="0"/>
    <m/>
    <m/>
    <x v="0"/>
    <m/>
    <x v="0"/>
    <m/>
    <m/>
    <m/>
    <m/>
    <m/>
    <m/>
    <n v="1"/>
    <n v="6"/>
    <n v="0"/>
    <n v="0"/>
    <n v="0"/>
    <n v="0"/>
    <x v="0"/>
    <x v="0"/>
    <n v="0"/>
    <n v="0"/>
    <n v="0"/>
  </r>
  <r>
    <s v="1.1.1.1"/>
    <s v="Locação e Gabarito"/>
    <x v="1"/>
    <s v="Locação e GabaritoFUND"/>
    <x v="1"/>
    <s v="FUNDAÇÃO"/>
    <n v="5"/>
    <d v="2021-08-16T00:00:00"/>
    <d v="2021-08-20T00:00:00"/>
    <d v="2021-08-16T00:00:00"/>
    <d v="2021-08-20T00:00:00"/>
    <n v="2720.55"/>
    <n v="0"/>
    <m/>
    <m/>
    <x v="1"/>
    <n v="0"/>
    <x v="1"/>
    <s v="0_FUND"/>
    <n v="0"/>
    <n v="0"/>
    <n v="74.739999999999995"/>
    <s v="m²"/>
    <n v="1"/>
    <n v="1"/>
    <n v="1"/>
    <n v="2720.55"/>
    <n v="1"/>
    <n v="1"/>
    <n v="2720.55"/>
    <x v="1"/>
    <x v="1"/>
    <n v="0"/>
    <n v="0"/>
    <n v="0"/>
  </r>
  <r>
    <s v="1.1.1.2"/>
    <s v="Estacas"/>
    <x v="2"/>
    <s v="EstacasFUND"/>
    <x v="1"/>
    <s v="FUNDAÇÃO"/>
    <n v="10"/>
    <d v="2021-08-23T00:00:00"/>
    <d v="2021-09-03T00:00:00"/>
    <d v="2021-08-23T00:00:00"/>
    <d v="2021-09-10T00:00:00"/>
    <n v="34356.19"/>
    <n v="0"/>
    <m/>
    <m/>
    <x v="1"/>
    <s v="EST"/>
    <x v="1"/>
    <s v="EST_FUND"/>
    <s v="EST"/>
    <s v="Construct"/>
    <n v="14.82"/>
    <s v="m³"/>
    <n v="1"/>
    <n v="2"/>
    <n v="3"/>
    <n v="34356.19"/>
    <n v="2"/>
    <n v="4"/>
    <n v="34356.19"/>
    <x v="1"/>
    <x v="1"/>
    <n v="0"/>
    <n v="0"/>
    <n v="0"/>
  </r>
  <r>
    <s v="1.1.1.3"/>
    <s v="Vigas Baldrames"/>
    <x v="3"/>
    <s v="Vigas BaldramesFUND"/>
    <x v="1"/>
    <s v="FUNDAÇÃO"/>
    <n v="5"/>
    <d v="2021-09-06T00:00:00"/>
    <d v="2021-09-10T00:00:00"/>
    <d v="2021-09-13T00:00:00"/>
    <d v="2021-09-17T00:00:00"/>
    <n v="70046.69"/>
    <n v="0"/>
    <m/>
    <m/>
    <x v="1"/>
    <s v="VGB"/>
    <x v="1"/>
    <s v="VGB_FUND"/>
    <s v="VGB"/>
    <s v="Construct"/>
    <n v="18.11"/>
    <s v="m³"/>
    <n v="1"/>
    <n v="4"/>
    <n v="4"/>
    <n v="70046.69"/>
    <n v="5"/>
    <n v="5"/>
    <n v="70046.69"/>
    <x v="1"/>
    <x v="1"/>
    <n v="0"/>
    <n v="0"/>
    <n v="0"/>
  </r>
  <r>
    <s v="1.1.1.4"/>
    <s v="Instalações Enterradas"/>
    <x v="4"/>
    <s v="Instalações EnterradasFUND"/>
    <x v="1"/>
    <s v="FUNDAÇÃO"/>
    <n v="5"/>
    <d v="2021-09-13T00:00:00"/>
    <d v="2021-09-17T00:00:00"/>
    <d v="2021-09-20T00:00:00"/>
    <d v="2021-09-22T00:00:00"/>
    <n v="350"/>
    <n v="0"/>
    <m/>
    <m/>
    <x v="1"/>
    <s v="INSENT"/>
    <x v="1"/>
    <s v="INSENT_FUND"/>
    <s v="INSENT"/>
    <s v="Construct"/>
    <n v="1"/>
    <s v="torre"/>
    <n v="1"/>
    <n v="5"/>
    <n v="5"/>
    <n v="350"/>
    <n v="6"/>
    <n v="6"/>
    <n v="350"/>
    <x v="1"/>
    <x v="1"/>
    <n v="0"/>
    <n v="0"/>
    <n v="0"/>
  </r>
  <r>
    <s v="1.1.1.5"/>
    <s v="Contrapiso"/>
    <x v="5"/>
    <s v="ContrapisoFUND"/>
    <x v="1"/>
    <s v="FUNDAÇÃO"/>
    <n v="5"/>
    <d v="2021-09-20T00:00:00"/>
    <d v="2021-09-24T00:00:00"/>
    <d v="2021-09-22T00:00:00"/>
    <d v="2021-09-24T00:00:00"/>
    <n v="34912.21"/>
    <n v="0"/>
    <m/>
    <m/>
    <x v="1"/>
    <s v="CONT"/>
    <x v="1"/>
    <s v="CONT_FUND"/>
    <s v="CONT"/>
    <s v="Construct"/>
    <n v="224.41"/>
    <s v="m²"/>
    <n v="1"/>
    <n v="6"/>
    <n v="6"/>
    <n v="34912.21"/>
    <n v="6"/>
    <n v="6"/>
    <n v="34912.21"/>
    <x v="1"/>
    <x v="1"/>
    <n v="0"/>
    <n v="0"/>
    <n v="0"/>
  </r>
  <r>
    <s v="1.2"/>
    <s v="PAV1"/>
    <x v="0"/>
    <s v="PAV1"/>
    <x v="0"/>
    <m/>
    <n v="147"/>
    <d v="2021-09-27T00:00:00"/>
    <d v="2022-04-20T00:00:00"/>
    <m/>
    <m/>
    <m/>
    <n v="0"/>
    <m/>
    <m/>
    <x v="0"/>
    <m/>
    <x v="0"/>
    <s v="_"/>
    <n v="0"/>
    <n v="0"/>
    <m/>
    <m/>
    <m/>
    <n v="7"/>
    <n v="36"/>
    <n v="0"/>
    <n v="0"/>
    <n v="0"/>
    <n v="0"/>
    <x v="2"/>
    <x v="2"/>
    <n v="7"/>
    <n v="34"/>
    <n v="0"/>
  </r>
  <r>
    <s v="1.2.2.3"/>
    <s v="Alvenaria Estrutural"/>
    <x v="6"/>
    <s v="Alvenaria EstruturalPAV1"/>
    <x v="1"/>
    <s v="TIPO"/>
    <n v="5"/>
    <d v="2021-09-27T00:00:00"/>
    <d v="2021-10-01T00:00:00"/>
    <d v="2021-09-27T00:00:00"/>
    <d v="2021-10-08T00:00:00"/>
    <n v="96573.61"/>
    <n v="0"/>
    <m/>
    <m/>
    <x v="1"/>
    <s v="ALV"/>
    <x v="2"/>
    <s v="ALV_PAV1"/>
    <s v="ALV"/>
    <s v="Construct"/>
    <n v="389.58"/>
    <s v="m²"/>
    <n v="1"/>
    <n v="7"/>
    <n v="7"/>
    <n v="96573.61"/>
    <n v="7"/>
    <n v="8"/>
    <n v="96573.61"/>
    <x v="1"/>
    <x v="1"/>
    <n v="0"/>
    <n v="0"/>
    <n v="0"/>
  </r>
  <r>
    <s v="1.2.2.4"/>
    <s v="Estrutura Moldado in Loco"/>
    <x v="7"/>
    <s v="Estrutura Moldado in LocoPAV1"/>
    <x v="1"/>
    <s v="TIPO"/>
    <n v="5"/>
    <d v="2021-10-04T00:00:00"/>
    <d v="2021-10-08T00:00:00"/>
    <d v="2021-10-11T00:00:00"/>
    <d v="2021-10-15T00:00:00"/>
    <n v="64892.03"/>
    <n v="0"/>
    <m/>
    <m/>
    <x v="1"/>
    <s v="ESTINLOCO"/>
    <x v="2"/>
    <s v="ESTINLOCO_PAV1"/>
    <s v="ESTINLOCO"/>
    <s v="Construct"/>
    <n v="25.44"/>
    <s v="m³"/>
    <n v="1"/>
    <n v="8"/>
    <n v="8"/>
    <n v="64892.03"/>
    <n v="9"/>
    <n v="9"/>
    <n v="64892.03"/>
    <x v="1"/>
    <x v="1"/>
    <n v="0"/>
    <n v="0"/>
    <n v="0"/>
  </r>
  <r>
    <s v="1.2.2.5"/>
    <s v="Instalações Hidrossanitárias"/>
    <x v="8"/>
    <s v="Instalações HidrossanitáriasPAV1"/>
    <x v="1"/>
    <s v="TIPO"/>
    <n v="5"/>
    <d v="2021-11-01T00:00:00"/>
    <d v="2021-11-05T00:00:00"/>
    <d v="2021-12-07T00:00:00"/>
    <d v="2021-12-12T00:00:00"/>
    <n v="13455.89"/>
    <n v="0"/>
    <m/>
    <m/>
    <x v="1"/>
    <s v="HIDRO"/>
    <x v="2"/>
    <s v="HIDRO_PAV1"/>
    <s v="HIDRO"/>
    <s v="Construct"/>
    <n v="1"/>
    <s v="pvto"/>
    <n v="1"/>
    <n v="12"/>
    <n v="12"/>
    <n v="13455.89"/>
    <n v="17"/>
    <n v="17"/>
    <n v="13455.89"/>
    <x v="1"/>
    <x v="1"/>
    <n v="0"/>
    <n v="0"/>
    <n v="0"/>
  </r>
  <r>
    <s v="1.2.2.6"/>
    <s v="Reboco Interno"/>
    <x v="9"/>
    <s v="Reboco InternoPAV1"/>
    <x v="1"/>
    <s v="TIPO"/>
    <n v="5"/>
    <d v="2021-11-15T00:00:00"/>
    <d v="2021-11-19T00:00:00"/>
    <d v="2021-11-15T00:00:00"/>
    <d v="2021-11-19T00:00:00"/>
    <n v="984.14"/>
    <n v="0"/>
    <m/>
    <m/>
    <x v="1"/>
    <s v="REBINT"/>
    <x v="2"/>
    <s v="REBINT_PAV1"/>
    <s v="REBINT"/>
    <s v="Construct"/>
    <n v="140.59"/>
    <s v="m²"/>
    <n v="1"/>
    <n v="14"/>
    <n v="14"/>
    <n v="984.14"/>
    <n v="14"/>
    <n v="14"/>
    <n v="984.14"/>
    <x v="1"/>
    <x v="1"/>
    <n v="0"/>
    <n v="0"/>
    <n v="0"/>
  </r>
  <r>
    <s v="1.2.2.7"/>
    <s v="Shaft "/>
    <x v="10"/>
    <s v="Shaft PAV1"/>
    <x v="1"/>
    <s v="TIPO"/>
    <n v="2"/>
    <d v="2021-12-20T00:00:00"/>
    <d v="2021-12-22T00:00:00"/>
    <d v="2021-12-20T00:00:00"/>
    <d v="2021-12-22T00:00:00"/>
    <n v="3159.37"/>
    <n v="0"/>
    <m/>
    <m/>
    <x v="1"/>
    <s v="SHAFT"/>
    <x v="2"/>
    <s v="SHAFT_PAV1"/>
    <s v="SHAFT"/>
    <s v="Construct"/>
    <n v="10.69"/>
    <s v="m²"/>
    <n v="1"/>
    <n v="19"/>
    <n v="19"/>
    <n v="3159.37"/>
    <n v="19"/>
    <n v="19"/>
    <n v="3159.37"/>
    <x v="1"/>
    <x v="1"/>
    <n v="0"/>
    <n v="0"/>
    <n v="0"/>
  </r>
  <r>
    <s v="1.2.2.8"/>
    <s v="Impermeabilização"/>
    <x v="11"/>
    <s v="ImpermeabilizaçãoPAV1"/>
    <x v="1"/>
    <s v="TIPO"/>
    <n v="5"/>
    <d v="2021-12-22T00:00:00"/>
    <d v="2021-12-29T00:00:00"/>
    <d v="2021-12-29T00:00:00"/>
    <m/>
    <n v="239.07"/>
    <n v="0"/>
    <m/>
    <m/>
    <x v="2"/>
    <s v="IMP"/>
    <x v="2"/>
    <s v="IMP_PAV1"/>
    <s v="IMP"/>
    <s v="Construct"/>
    <n v="6.08"/>
    <s v="m²"/>
    <n v="1"/>
    <n v="19"/>
    <n v="20"/>
    <n v="239.07"/>
    <n v="20"/>
    <n v="0"/>
    <n v="0"/>
    <x v="1"/>
    <x v="1"/>
    <n v="0"/>
    <n v="0"/>
    <n v="0"/>
  </r>
  <r>
    <s v="1.2.2.9"/>
    <s v="Cerâmica"/>
    <x v="12"/>
    <s v="CerâmicaPAV1"/>
    <x v="1"/>
    <s v="TIPO"/>
    <n v="5"/>
    <d v="2021-12-29T00:00:00"/>
    <d v="2022-01-05T00:00:00"/>
    <m/>
    <m/>
    <n v="20435.66"/>
    <n v="0"/>
    <m/>
    <m/>
    <x v="0"/>
    <s v="CERAM"/>
    <x v="2"/>
    <s v="CERAM_PAV1"/>
    <s v="CERAM"/>
    <s v="Construct"/>
    <n v="86.26"/>
    <s v="m²"/>
    <n v="0.6"/>
    <n v="20"/>
    <n v="21"/>
    <n v="12261.395999999999"/>
    <n v="0"/>
    <n v="0"/>
    <n v="0"/>
    <x v="3"/>
    <x v="3"/>
    <n v="21"/>
    <n v="22"/>
    <n v="20435.66"/>
  </r>
  <r>
    <s v="1.2.2.10"/>
    <s v="Gesso Liso"/>
    <x v="13"/>
    <s v="Gesso LisoPAV1"/>
    <x v="1"/>
    <s v="TIPO"/>
    <n v="5"/>
    <d v="2022-01-05T00:00:00"/>
    <d v="2022-01-12T00:00:00"/>
    <m/>
    <m/>
    <n v="6811.28"/>
    <n v="0"/>
    <m/>
    <m/>
    <x v="0"/>
    <s v="GEPINT"/>
    <x v="2"/>
    <s v="GEPINT_PAV1"/>
    <s v="GESSO"/>
    <s v="Construct"/>
    <n v="447.45"/>
    <s v="m²"/>
    <m/>
    <n v="21"/>
    <n v="22"/>
    <n v="0"/>
    <n v="0"/>
    <n v="0"/>
    <n v="0"/>
    <x v="4"/>
    <x v="4"/>
    <n v="22"/>
    <n v="23"/>
    <n v="6811.28"/>
  </r>
  <r>
    <s v="1.2.2.11"/>
    <s v="Esquadria "/>
    <x v="14"/>
    <s v="Esquadria PAV1"/>
    <x v="1"/>
    <s v="TIPO"/>
    <n v="5"/>
    <d v="2022-01-12T00:00:00"/>
    <d v="2022-01-19T00:00:00"/>
    <m/>
    <m/>
    <n v="26500"/>
    <n v="0"/>
    <m/>
    <m/>
    <x v="0"/>
    <s v="ESQ"/>
    <x v="2"/>
    <s v="ESQ_PAV1"/>
    <s v="ESQ"/>
    <s v="Construct"/>
    <n v="21"/>
    <s v="und"/>
    <m/>
    <n v="22"/>
    <n v="23"/>
    <n v="0"/>
    <n v="0"/>
    <n v="0"/>
    <n v="0"/>
    <x v="5"/>
    <x v="5"/>
    <n v="24"/>
    <n v="25"/>
    <n v="26500"/>
  </r>
  <r>
    <s v="1.2.2.12"/>
    <s v="Fiação"/>
    <x v="15"/>
    <s v="FiaçãoPAV1"/>
    <x v="1"/>
    <s v="TIPO"/>
    <n v="5"/>
    <d v="2022-01-19T00:00:00"/>
    <d v="2022-01-26T00:00:00"/>
    <m/>
    <m/>
    <n v="5134.5200000000004"/>
    <n v="0"/>
    <m/>
    <m/>
    <x v="0"/>
    <s v="GEPINT"/>
    <x v="2"/>
    <s v="GEPINT_PAV1"/>
    <s v="FIA"/>
    <s v="Construct"/>
    <n v="4"/>
    <s v="apto"/>
    <m/>
    <n v="23"/>
    <n v="24"/>
    <n v="0"/>
    <n v="0"/>
    <n v="0"/>
    <n v="0"/>
    <x v="6"/>
    <x v="6"/>
    <n v="25"/>
    <n v="26"/>
    <n v="5134.5200000000004"/>
  </r>
  <r>
    <s v="1.2.2.13"/>
    <s v="Forro"/>
    <x v="16"/>
    <s v="ForroPAV1"/>
    <x v="1"/>
    <s v="TIPO"/>
    <n v="5"/>
    <d v="2022-01-26T00:00:00"/>
    <d v="2022-02-02T00:00:00"/>
    <m/>
    <m/>
    <n v="2297.4899999999998"/>
    <n v="0"/>
    <m/>
    <m/>
    <x v="0"/>
    <s v="FOR"/>
    <x v="2"/>
    <s v="FOR_PAV1"/>
    <s v="FOR"/>
    <s v="Construct"/>
    <n v="29.29"/>
    <s v="m²"/>
    <m/>
    <n v="24"/>
    <n v="25"/>
    <n v="0"/>
    <n v="0"/>
    <n v="0"/>
    <n v="0"/>
    <x v="7"/>
    <x v="7"/>
    <n v="26"/>
    <n v="27"/>
    <n v="2297.4899999999998"/>
  </r>
  <r>
    <s v="1.2.2.17"/>
    <s v="Rev. da Circulação"/>
    <x v="17"/>
    <s v="Rev. da CirculaçãoPAV1"/>
    <x v="1"/>
    <s v="TIPO"/>
    <n v="5"/>
    <d v="2022-02-02T00:00:00"/>
    <d v="2022-02-09T00:00:00"/>
    <m/>
    <m/>
    <n v="3617.3"/>
    <n v="0"/>
    <m/>
    <m/>
    <x v="0"/>
    <s v="REVCIRC"/>
    <x v="2"/>
    <s v="REVCIRC_PAV1"/>
    <s v="REVCIRC"/>
    <s v="Construct"/>
    <n v="22.5"/>
    <s v="m²"/>
    <m/>
    <n v="25"/>
    <n v="26"/>
    <n v="0"/>
    <n v="0"/>
    <n v="0"/>
    <n v="0"/>
    <x v="8"/>
    <x v="8"/>
    <n v="27"/>
    <n v="28"/>
    <n v="3617.3"/>
  </r>
  <r>
    <s v="1.2.2.14"/>
    <s v="Disjuntores e CD"/>
    <x v="18"/>
    <s v="Disjuntores e CDPAV1"/>
    <x v="1"/>
    <s v="TIPO"/>
    <n v="2"/>
    <d v="2022-02-14T00:00:00"/>
    <d v="2022-02-16T00:00:00"/>
    <m/>
    <m/>
    <n v="1400"/>
    <n v="0"/>
    <m/>
    <m/>
    <x v="0"/>
    <s v="DISJ"/>
    <x v="2"/>
    <s v="DISJ_PAV1"/>
    <s v="DISJ"/>
    <s v="Construct"/>
    <n v="4"/>
    <s v="apto"/>
    <m/>
    <n v="27"/>
    <n v="27"/>
    <n v="0"/>
    <n v="0"/>
    <n v="0"/>
    <n v="0"/>
    <x v="9"/>
    <x v="8"/>
    <n v="27"/>
    <n v="28"/>
    <n v="1400"/>
  </r>
  <r>
    <s v="1.2.2.16"/>
    <s v="Pintura Interna - 1ªdmão"/>
    <x v="19"/>
    <s v="Pintura Interna - 1ªdmãoPAV1"/>
    <x v="1"/>
    <s v="TIPO"/>
    <n v="5"/>
    <d v="2022-02-16T00:00:00"/>
    <d v="2022-02-23T00:00:00"/>
    <m/>
    <m/>
    <n v="14799.65"/>
    <n v="0"/>
    <m/>
    <m/>
    <x v="0"/>
    <s v="GEPINT"/>
    <x v="2"/>
    <s v="GEPINT_PAV1"/>
    <s v="PINT"/>
    <s v="Construct"/>
    <n v="476.74"/>
    <s v="m²"/>
    <m/>
    <n v="27"/>
    <n v="28"/>
    <n v="0"/>
    <n v="0"/>
    <n v="0"/>
    <n v="0"/>
    <x v="10"/>
    <x v="9"/>
    <n v="28"/>
    <n v="29"/>
    <n v="14799.65"/>
  </r>
  <r>
    <s v="1.2.2.18"/>
    <s v="Louças"/>
    <x v="20"/>
    <s v="LouçasPAV1"/>
    <x v="1"/>
    <s v="TIPO"/>
    <n v="5"/>
    <d v="2022-02-23T00:00:00"/>
    <d v="2022-03-02T00:00:00"/>
    <m/>
    <m/>
    <n v="5236.0200000000004"/>
    <n v="0"/>
    <m/>
    <m/>
    <x v="0"/>
    <s v="LOU"/>
    <x v="2"/>
    <s v="LOU_PAV1"/>
    <s v="LOU"/>
    <s v="Construct"/>
    <n v="16"/>
    <s v="und"/>
    <m/>
    <n v="28"/>
    <n v="29"/>
    <n v="0"/>
    <n v="0"/>
    <n v="0"/>
    <n v="0"/>
    <x v="11"/>
    <x v="10"/>
    <n v="30"/>
    <n v="31"/>
    <n v="5236.0200000000004"/>
  </r>
  <r>
    <s v="1.2.2.19"/>
    <s v="Portas de Madeira"/>
    <x v="21"/>
    <s v="Portas de MadeiraPAV1"/>
    <x v="1"/>
    <s v="TIPO"/>
    <n v="5"/>
    <d v="2022-03-02T00:00:00"/>
    <d v="2022-03-09T00:00:00"/>
    <m/>
    <m/>
    <n v="10400"/>
    <n v="0"/>
    <m/>
    <m/>
    <x v="0"/>
    <s v="PM"/>
    <x v="2"/>
    <s v="PM_PAV1"/>
    <s v="PM"/>
    <s v="Construct"/>
    <n v="20"/>
    <s v="und"/>
    <m/>
    <n v="29"/>
    <n v="30"/>
    <n v="0"/>
    <n v="0"/>
    <n v="0"/>
    <n v="0"/>
    <x v="12"/>
    <x v="11"/>
    <n v="31"/>
    <n v="31"/>
    <n v="10400"/>
  </r>
  <r>
    <s v="1.2.2.24"/>
    <s v="Esquadria de Ferro Circulação"/>
    <x v="22"/>
    <s v="Esquadria de Ferro CirculaçãoPAV1"/>
    <x v="1"/>
    <s v="TIPO"/>
    <n v="2"/>
    <d v="2022-03-02T00:00:00"/>
    <d v="2022-03-04T00:00:00"/>
    <m/>
    <m/>
    <n v="2054.02"/>
    <n v="0"/>
    <m/>
    <m/>
    <x v="0"/>
    <s v="EF"/>
    <x v="2"/>
    <s v="EF_PAV1"/>
    <s v="EF"/>
    <s v="Construct"/>
    <n v="4.17"/>
    <s v="m"/>
    <m/>
    <n v="29"/>
    <n v="29"/>
    <n v="0"/>
    <n v="0"/>
    <n v="0"/>
    <n v="0"/>
    <x v="11"/>
    <x v="10"/>
    <n v="30"/>
    <n v="31"/>
    <n v="2054.02"/>
  </r>
  <r>
    <s v="1.2.2.15"/>
    <s v="Piso Laminado + Rodapé"/>
    <x v="23"/>
    <s v="Piso Laminado + RodapéPAV1"/>
    <x v="1"/>
    <s v="TIPO"/>
    <n v="5"/>
    <d v="2022-03-09T00:00:00"/>
    <d v="2022-03-16T00:00:00"/>
    <m/>
    <m/>
    <n v="13171.26"/>
    <n v="0"/>
    <m/>
    <m/>
    <x v="0"/>
    <s v="LAM"/>
    <x v="2"/>
    <s v="LAM_PAV1"/>
    <s v="LAM"/>
    <s v="Construct"/>
    <n v="80.88"/>
    <s v="m²"/>
    <m/>
    <n v="30"/>
    <n v="31"/>
    <n v="0"/>
    <n v="0"/>
    <n v="0"/>
    <n v="0"/>
    <x v="13"/>
    <x v="12"/>
    <n v="32"/>
    <n v="33"/>
    <n v="13171.26"/>
  </r>
  <r>
    <s v="1.2.2.20"/>
    <s v="Metais"/>
    <x v="24"/>
    <s v="MetaisPAV1"/>
    <x v="1"/>
    <s v="TIPO"/>
    <n v="2"/>
    <d v="2022-03-28T00:00:00"/>
    <d v="2022-03-30T00:00:00"/>
    <m/>
    <m/>
    <n v="1340.04"/>
    <n v="0"/>
    <m/>
    <m/>
    <x v="0"/>
    <s v="METAIS"/>
    <x v="2"/>
    <s v="METAIS_PAV1"/>
    <s v="METAIS"/>
    <s v="Construct"/>
    <n v="12"/>
    <s v="und"/>
    <m/>
    <n v="33"/>
    <n v="33"/>
    <n v="0"/>
    <n v="0"/>
    <n v="0"/>
    <n v="0"/>
    <x v="14"/>
    <x v="13"/>
    <n v="31"/>
    <n v="32"/>
    <n v="1340.04"/>
  </r>
  <r>
    <s v="1.2.2.21"/>
    <s v="Acabamentos Elétricos"/>
    <x v="25"/>
    <s v="Acabamentos ElétricosPAV1"/>
    <x v="1"/>
    <s v="TIPO"/>
    <n v="2"/>
    <d v="2022-03-28T00:00:00"/>
    <d v="2022-03-30T00:00:00"/>
    <m/>
    <m/>
    <n v="0"/>
    <n v="0"/>
    <m/>
    <m/>
    <x v="0"/>
    <s v="GEPINT"/>
    <x v="2"/>
    <s v="GEPINT_PAV1"/>
    <s v="ACAB"/>
    <s v="Construct"/>
    <n v="4"/>
    <s v="apto"/>
    <m/>
    <n v="33"/>
    <n v="33"/>
    <n v="0"/>
    <n v="0"/>
    <n v="0"/>
    <n v="0"/>
    <x v="14"/>
    <x v="13"/>
    <n v="31"/>
    <n v="32"/>
    <n v="0"/>
  </r>
  <r>
    <s v="1.2.2.22"/>
    <s v="Pintura Final"/>
    <x v="26"/>
    <s v="Pintura FinalPAV1"/>
    <x v="1"/>
    <s v="TIPO"/>
    <n v="5"/>
    <d v="2022-03-30T00:00:00"/>
    <d v="2022-04-06T00:00:00"/>
    <m/>
    <m/>
    <n v="3687.38"/>
    <n v="0"/>
    <m/>
    <m/>
    <x v="0"/>
    <s v="GEPINT"/>
    <x v="2"/>
    <s v="GEPINT_PAV1"/>
    <s v="PINTF"/>
    <s v="Construct"/>
    <n v="614.55999999999995"/>
    <s v="m²"/>
    <m/>
    <n v="33"/>
    <n v="34"/>
    <n v="0"/>
    <n v="0"/>
    <n v="0"/>
    <n v="0"/>
    <x v="15"/>
    <x v="14"/>
    <n v="33"/>
    <n v="34"/>
    <n v="3687.38"/>
  </r>
  <r>
    <s v="1.2.2.23"/>
    <s v="Complementação e Limpeza"/>
    <x v="27"/>
    <s v="Complementação e LimpezaPAV1"/>
    <x v="1"/>
    <s v="TIPO"/>
    <n v="2"/>
    <d v="2022-04-18T00:00:00"/>
    <d v="2022-04-20T00:00:00"/>
    <m/>
    <m/>
    <n v="500"/>
    <n v="0"/>
    <m/>
    <m/>
    <x v="0"/>
    <s v="GEPINT"/>
    <x v="2"/>
    <s v="GEPINT_PAV1"/>
    <s v="COMPL"/>
    <s v="Construct"/>
    <n v="0.25"/>
    <s v="torre"/>
    <m/>
    <n v="36"/>
    <n v="36"/>
    <n v="0"/>
    <n v="0"/>
    <n v="0"/>
    <n v="0"/>
    <x v="16"/>
    <x v="2"/>
    <n v="34"/>
    <n v="34"/>
    <n v="500"/>
  </r>
  <r>
    <s v="1.3"/>
    <s v="PAV2"/>
    <x v="0"/>
    <s v="PAV2"/>
    <x v="0"/>
    <m/>
    <n v="140"/>
    <d v="2021-10-11T00:00:00"/>
    <d v="2022-04-22T00:00:00"/>
    <m/>
    <m/>
    <m/>
    <n v="0"/>
    <m/>
    <m/>
    <x v="0"/>
    <m/>
    <x v="0"/>
    <s v="_"/>
    <n v="0"/>
    <n v="0"/>
    <m/>
    <m/>
    <m/>
    <n v="9"/>
    <n v="36"/>
    <n v="0"/>
    <n v="0"/>
    <n v="0"/>
    <n v="0"/>
    <x v="17"/>
    <x v="15"/>
    <n v="9"/>
    <n v="35"/>
    <n v="0"/>
  </r>
  <r>
    <s v="1.3.2.3"/>
    <s v="Alvenaria Estrutural"/>
    <x v="6"/>
    <s v="Alvenaria EstruturalPAV2"/>
    <x v="1"/>
    <s v="TIPO"/>
    <n v="5"/>
    <d v="2021-10-11T00:00:00"/>
    <d v="2021-10-15T00:00:00"/>
    <d v="2021-10-18T00:00:00"/>
    <d v="2021-10-22T00:00:00"/>
    <n v="96851.74"/>
    <n v="0"/>
    <m/>
    <m/>
    <x v="1"/>
    <s v="ALV"/>
    <x v="3"/>
    <s v="ALV_PAV2"/>
    <s v="ALV"/>
    <s v="Construct"/>
    <n v="390.7"/>
    <s v="m²"/>
    <n v="1"/>
    <n v="9"/>
    <n v="9"/>
    <n v="96851.74"/>
    <n v="10"/>
    <n v="10"/>
    <n v="96851.74"/>
    <x v="1"/>
    <x v="1"/>
    <n v="0"/>
    <n v="0"/>
    <n v="0"/>
  </r>
  <r>
    <s v="1.3.2.4"/>
    <s v="Estrutura Moldado in Loco"/>
    <x v="7"/>
    <s v="Estrutura Moldado in LocoPAV2"/>
    <x v="1"/>
    <s v="TIPO"/>
    <n v="5"/>
    <d v="2021-10-18T00:00:00"/>
    <d v="2021-10-22T00:00:00"/>
    <d v="2021-10-25T00:00:00"/>
    <d v="2021-10-29T00:00:00"/>
    <n v="64892.03"/>
    <n v="0"/>
    <m/>
    <m/>
    <x v="1"/>
    <s v="ESTINLOCO"/>
    <x v="3"/>
    <s v="ESTINLOCO_PAV2"/>
    <s v="ESTINLOCO"/>
    <s v="Construct"/>
    <n v="25.44"/>
    <s v="m³"/>
    <n v="1"/>
    <n v="10"/>
    <n v="10"/>
    <n v="64892.03"/>
    <n v="11"/>
    <n v="11"/>
    <n v="64892.03"/>
    <x v="1"/>
    <x v="1"/>
    <n v="0"/>
    <n v="0"/>
    <n v="0"/>
  </r>
  <r>
    <s v="1.3.2.5"/>
    <s v="Instalações Hidrossanitárias"/>
    <x v="8"/>
    <s v="Instalações HidrossanitáriasPAV2"/>
    <x v="1"/>
    <s v="TIPO"/>
    <n v="5"/>
    <d v="2021-11-08T00:00:00"/>
    <d v="2021-11-12T00:00:00"/>
    <d v="2021-11-29T00:00:00"/>
    <d v="2021-12-04T00:00:00"/>
    <n v="13455.89"/>
    <n v="0"/>
    <m/>
    <m/>
    <x v="1"/>
    <s v="HIDRO"/>
    <x v="3"/>
    <s v="HIDRO_PAV2"/>
    <s v="HIDRO"/>
    <s v="Construct"/>
    <n v="1"/>
    <s v="pvto"/>
    <n v="1"/>
    <n v="13"/>
    <n v="13"/>
    <n v="13455.89"/>
    <n v="16"/>
    <n v="16"/>
    <n v="13455.89"/>
    <x v="1"/>
    <x v="1"/>
    <n v="0"/>
    <n v="0"/>
    <n v="0"/>
  </r>
  <r>
    <s v="1.3.2.6"/>
    <s v="Reboco Interno"/>
    <x v="9"/>
    <s v="Reboco InternoPAV2"/>
    <x v="1"/>
    <s v="TIPO"/>
    <n v="5"/>
    <d v="2021-11-22T00:00:00"/>
    <d v="2021-11-26T00:00:00"/>
    <d v="2021-11-22T00:00:00"/>
    <d v="2021-11-26T00:00:00"/>
    <n v="984.14"/>
    <n v="0"/>
    <m/>
    <m/>
    <x v="1"/>
    <s v="REBINT"/>
    <x v="3"/>
    <s v="REBINT_PAV2"/>
    <s v="REBINT"/>
    <s v="Construct"/>
    <n v="140.59"/>
    <s v="m²"/>
    <n v="1"/>
    <n v="15"/>
    <n v="15"/>
    <n v="984.14"/>
    <n v="15"/>
    <n v="15"/>
    <n v="984.14"/>
    <x v="1"/>
    <x v="1"/>
    <n v="0"/>
    <n v="0"/>
    <n v="0"/>
  </r>
  <r>
    <s v="1.3.2.7"/>
    <s v="Shaft "/>
    <x v="10"/>
    <s v="Shaft PAV2"/>
    <x v="1"/>
    <s v="TIPO"/>
    <n v="2"/>
    <d v="2021-12-22T00:00:00"/>
    <d v="2021-12-24T00:00:00"/>
    <d v="2021-12-22T00:00:00"/>
    <d v="2021-12-24T00:00:00"/>
    <n v="3159.37"/>
    <n v="0"/>
    <m/>
    <m/>
    <x v="1"/>
    <s v="SHAFT"/>
    <x v="3"/>
    <s v="SHAFT_PAV2"/>
    <s v="SHAFT"/>
    <s v="Construct"/>
    <n v="10.69"/>
    <s v="m²"/>
    <n v="1"/>
    <n v="19"/>
    <n v="19"/>
    <n v="3159.37"/>
    <n v="19"/>
    <n v="19"/>
    <n v="3159.37"/>
    <x v="1"/>
    <x v="1"/>
    <n v="0"/>
    <n v="0"/>
    <n v="0"/>
  </r>
  <r>
    <s v="1.3.2.8"/>
    <s v="Impermeabilização"/>
    <x v="11"/>
    <s v="ImpermeabilizaçãoPAV2"/>
    <x v="1"/>
    <s v="TIPO"/>
    <n v="5"/>
    <d v="2021-12-29T00:00:00"/>
    <d v="2022-01-05T00:00:00"/>
    <m/>
    <m/>
    <n v="239.07"/>
    <n v="0"/>
    <m/>
    <m/>
    <x v="0"/>
    <s v="IMP"/>
    <x v="3"/>
    <s v="IMP_PAV2"/>
    <s v="IMP"/>
    <s v="Construct"/>
    <n v="6.08"/>
    <s v="m²"/>
    <n v="0.6"/>
    <n v="20"/>
    <n v="21"/>
    <n v="143.44199999999998"/>
    <n v="0"/>
    <n v="0"/>
    <n v="0"/>
    <x v="3"/>
    <x v="3"/>
    <n v="21"/>
    <n v="22"/>
    <n v="239.07"/>
  </r>
  <r>
    <s v="1.3.2.9"/>
    <s v="Cerâmica"/>
    <x v="12"/>
    <s v="CerâmicaPAV2"/>
    <x v="1"/>
    <s v="TIPO"/>
    <n v="5"/>
    <d v="2022-01-05T00:00:00"/>
    <d v="2022-01-12T00:00:00"/>
    <m/>
    <m/>
    <n v="20435.66"/>
    <n v="0"/>
    <m/>
    <m/>
    <x v="0"/>
    <s v="CERAM"/>
    <x v="3"/>
    <s v="CERAM_PAV2"/>
    <s v="CERAM"/>
    <s v="Construct"/>
    <n v="86.26"/>
    <s v="m²"/>
    <m/>
    <n v="21"/>
    <n v="22"/>
    <n v="0"/>
    <n v="0"/>
    <n v="0"/>
    <n v="0"/>
    <x v="4"/>
    <x v="4"/>
    <n v="22"/>
    <n v="23"/>
    <n v="20435.66"/>
  </r>
  <r>
    <s v="1.3.2.10"/>
    <s v="Gesso Liso"/>
    <x v="13"/>
    <s v="Gesso LisoPAV2"/>
    <x v="1"/>
    <s v="TIPO"/>
    <n v="5"/>
    <d v="2022-01-12T00:00:00"/>
    <d v="2022-01-19T00:00:00"/>
    <m/>
    <m/>
    <n v="6811.28"/>
    <n v="0"/>
    <m/>
    <m/>
    <x v="0"/>
    <s v="GEPINT"/>
    <x v="3"/>
    <s v="GEPINT_PAV2"/>
    <s v="GESSO"/>
    <s v="Construct"/>
    <n v="447.45"/>
    <s v="m²"/>
    <m/>
    <n v="22"/>
    <n v="23"/>
    <n v="0"/>
    <n v="0"/>
    <n v="0"/>
    <n v="0"/>
    <x v="18"/>
    <x v="16"/>
    <n v="23"/>
    <n v="24"/>
    <n v="6811.28"/>
  </r>
  <r>
    <s v="1.3.2.11"/>
    <s v="Esquadria "/>
    <x v="14"/>
    <s v="Esquadria PAV2"/>
    <x v="1"/>
    <s v="TIPO"/>
    <n v="5"/>
    <d v="2022-01-19T00:00:00"/>
    <d v="2022-01-26T00:00:00"/>
    <m/>
    <m/>
    <n v="26500"/>
    <n v="0"/>
    <m/>
    <m/>
    <x v="0"/>
    <s v="ESQ"/>
    <x v="3"/>
    <s v="ESQ_PAV2"/>
    <s v="ESQ"/>
    <s v="Construct"/>
    <n v="21"/>
    <s v="und"/>
    <m/>
    <n v="23"/>
    <n v="24"/>
    <n v="0"/>
    <n v="0"/>
    <n v="0"/>
    <n v="0"/>
    <x v="6"/>
    <x v="17"/>
    <n v="25"/>
    <n v="25"/>
    <n v="26500"/>
  </r>
  <r>
    <s v="1.3.2.12"/>
    <s v="Fiação"/>
    <x v="15"/>
    <s v="FiaçãoPAV2"/>
    <x v="1"/>
    <s v="TIPO"/>
    <n v="5"/>
    <d v="2022-01-26T00:00:00"/>
    <d v="2022-02-02T00:00:00"/>
    <m/>
    <m/>
    <n v="5134.5200000000004"/>
    <n v="0"/>
    <m/>
    <m/>
    <x v="0"/>
    <s v="GEPINT"/>
    <x v="3"/>
    <s v="GEPINT_PAV2"/>
    <s v="FIA"/>
    <s v="Construct"/>
    <n v="4"/>
    <s v="apto"/>
    <m/>
    <n v="24"/>
    <n v="25"/>
    <n v="0"/>
    <n v="0"/>
    <n v="0"/>
    <n v="0"/>
    <x v="7"/>
    <x v="7"/>
    <n v="26"/>
    <n v="27"/>
    <n v="5134.5200000000004"/>
  </r>
  <r>
    <s v="1.3.2.13"/>
    <s v="Forro"/>
    <x v="16"/>
    <s v="ForroPAV2"/>
    <x v="1"/>
    <s v="TIPO"/>
    <n v="5"/>
    <d v="2022-02-02T00:00:00"/>
    <d v="2022-02-09T00:00:00"/>
    <m/>
    <m/>
    <n v="2297.4899999999998"/>
    <n v="0"/>
    <m/>
    <m/>
    <x v="0"/>
    <s v="FOR"/>
    <x v="3"/>
    <s v="FOR_PAV2"/>
    <s v="FOR"/>
    <s v="Construct"/>
    <n v="29.29"/>
    <s v="m²"/>
    <m/>
    <n v="25"/>
    <n v="26"/>
    <n v="0"/>
    <n v="0"/>
    <n v="0"/>
    <n v="0"/>
    <x v="8"/>
    <x v="8"/>
    <n v="27"/>
    <n v="28"/>
    <n v="2297.4899999999998"/>
  </r>
  <r>
    <s v="1.3.2.17"/>
    <s v="Rev. da Circulação"/>
    <x v="17"/>
    <s v="Rev. da CirculaçãoPAV2"/>
    <x v="1"/>
    <s v="TIPO"/>
    <n v="5"/>
    <d v="2022-02-09T00:00:00"/>
    <d v="2022-02-16T00:00:00"/>
    <m/>
    <m/>
    <n v="3617.43"/>
    <n v="0"/>
    <m/>
    <m/>
    <x v="0"/>
    <s v="REVCIRC"/>
    <x v="3"/>
    <s v="REVCIRC_PAV2"/>
    <s v="REVCIRC"/>
    <s v="Construct"/>
    <n v="22.5"/>
    <s v="m²"/>
    <m/>
    <n v="26"/>
    <n v="27"/>
    <n v="0"/>
    <n v="0"/>
    <n v="0"/>
    <n v="0"/>
    <x v="10"/>
    <x v="9"/>
    <n v="28"/>
    <n v="29"/>
    <n v="3617.43"/>
  </r>
  <r>
    <s v="1.3.2.14"/>
    <s v="Disjuntores e CD"/>
    <x v="18"/>
    <s v="Disjuntores e CDPAV2"/>
    <x v="1"/>
    <s v="TIPO"/>
    <n v="2"/>
    <d v="2022-02-16T00:00:00"/>
    <d v="2022-02-18T00:00:00"/>
    <m/>
    <m/>
    <n v="1400"/>
    <n v="0"/>
    <m/>
    <m/>
    <x v="0"/>
    <s v="DISJ"/>
    <x v="3"/>
    <s v="DISJ_PAV2"/>
    <s v="DISJ"/>
    <s v="Construct"/>
    <n v="4"/>
    <s v="apto"/>
    <m/>
    <n v="27"/>
    <n v="27"/>
    <n v="0"/>
    <n v="0"/>
    <n v="0"/>
    <n v="0"/>
    <x v="10"/>
    <x v="18"/>
    <n v="28"/>
    <n v="28"/>
    <n v="1400"/>
  </r>
  <r>
    <s v="1.3.2.16"/>
    <s v="Pintura Interna - 1ªdmão"/>
    <x v="19"/>
    <s v="Pintura Interna - 1ªdmãoPAV2"/>
    <x v="1"/>
    <s v="TIPO"/>
    <n v="5"/>
    <d v="2022-02-23T00:00:00"/>
    <d v="2022-03-02T00:00:00"/>
    <m/>
    <m/>
    <n v="14799.65"/>
    <n v="0"/>
    <m/>
    <m/>
    <x v="0"/>
    <s v="GEPINT"/>
    <x v="3"/>
    <s v="GEPINT_PAV2"/>
    <s v="PINT"/>
    <s v="Construct"/>
    <n v="476.74"/>
    <s v="m²"/>
    <m/>
    <n v="28"/>
    <n v="29"/>
    <n v="0"/>
    <n v="0"/>
    <n v="0"/>
    <n v="0"/>
    <x v="19"/>
    <x v="19"/>
    <n v="29"/>
    <n v="30"/>
    <n v="14799.65"/>
  </r>
  <r>
    <s v="1.3.2.18"/>
    <s v="Louças"/>
    <x v="20"/>
    <s v="LouçasPAV2"/>
    <x v="1"/>
    <s v="TIPO"/>
    <n v="5"/>
    <d v="2022-03-02T00:00:00"/>
    <d v="2022-03-09T00:00:00"/>
    <m/>
    <m/>
    <n v="5236.0200000000004"/>
    <n v="0"/>
    <m/>
    <m/>
    <x v="0"/>
    <s v="LOU"/>
    <x v="3"/>
    <s v="LOU_PAV2"/>
    <s v="LOU"/>
    <s v="Construct"/>
    <n v="16"/>
    <s v="und"/>
    <m/>
    <n v="29"/>
    <n v="30"/>
    <n v="0"/>
    <n v="0"/>
    <n v="0"/>
    <n v="0"/>
    <x v="12"/>
    <x v="11"/>
    <n v="31"/>
    <n v="31"/>
    <n v="5236.0200000000004"/>
  </r>
  <r>
    <s v="1.3.2.24"/>
    <s v="Esquadria de Ferro Circulação"/>
    <x v="22"/>
    <s v="Esquadria de Ferro CirculaçãoPAV2"/>
    <x v="1"/>
    <s v="TIPO"/>
    <n v="2"/>
    <d v="2022-03-02T00:00:00"/>
    <d v="2022-03-04T00:00:00"/>
    <m/>
    <m/>
    <n v="2054.02"/>
    <n v="0"/>
    <m/>
    <m/>
    <x v="0"/>
    <s v="EF"/>
    <x v="3"/>
    <s v="EF_PAV2"/>
    <s v="EF"/>
    <s v="Construct"/>
    <n v="4.17"/>
    <s v="und"/>
    <m/>
    <n v="29"/>
    <n v="29"/>
    <n v="0"/>
    <n v="0"/>
    <n v="0"/>
    <n v="0"/>
    <x v="11"/>
    <x v="10"/>
    <n v="30"/>
    <n v="31"/>
    <n v="2054.02"/>
  </r>
  <r>
    <s v="1.3.2.19"/>
    <s v="Portas de Madeira"/>
    <x v="21"/>
    <s v="Portas de MadeiraPAV2"/>
    <x v="1"/>
    <s v="TIPO"/>
    <n v="5"/>
    <d v="2022-03-09T00:00:00"/>
    <d v="2022-03-16T00:00:00"/>
    <m/>
    <m/>
    <n v="10400"/>
    <n v="0"/>
    <m/>
    <m/>
    <x v="0"/>
    <s v="PM"/>
    <x v="3"/>
    <s v="PM_PAV2"/>
    <s v="PM"/>
    <s v="Construct"/>
    <n v="20"/>
    <s v="m"/>
    <m/>
    <n v="30"/>
    <n v="31"/>
    <n v="0"/>
    <n v="0"/>
    <n v="0"/>
    <n v="0"/>
    <x v="14"/>
    <x v="13"/>
    <n v="31"/>
    <n v="32"/>
    <n v="10400"/>
  </r>
  <r>
    <s v="1.3.2.15"/>
    <s v="Piso Laminado + Rodapé"/>
    <x v="23"/>
    <s v="Piso Laminado + RodapéPAV2"/>
    <x v="1"/>
    <s v="TIPO"/>
    <n v="5"/>
    <d v="2022-03-16T00:00:00"/>
    <d v="2022-03-23T00:00:00"/>
    <m/>
    <m/>
    <n v="13171.26"/>
    <n v="0"/>
    <m/>
    <m/>
    <x v="0"/>
    <s v="LAM"/>
    <x v="3"/>
    <s v="LAM_PAV2"/>
    <s v="LAM"/>
    <s v="Construct"/>
    <n v="80.88"/>
    <s v="m²"/>
    <m/>
    <n v="31"/>
    <n v="32"/>
    <n v="0"/>
    <n v="0"/>
    <n v="0"/>
    <n v="0"/>
    <x v="15"/>
    <x v="14"/>
    <n v="33"/>
    <n v="34"/>
    <n v="13171.26"/>
  </r>
  <r>
    <s v="1.3.2.20"/>
    <s v="Metais"/>
    <x v="24"/>
    <s v="MetaisPAV2"/>
    <x v="1"/>
    <s v="TIPO"/>
    <n v="2"/>
    <d v="2022-03-30T00:00:00"/>
    <d v="2022-04-01T00:00:00"/>
    <m/>
    <m/>
    <n v="1340.04"/>
    <n v="0"/>
    <m/>
    <m/>
    <x v="0"/>
    <s v="METAIS"/>
    <x v="3"/>
    <s v="METAIS_PAV2"/>
    <s v="METAIS"/>
    <s v="Construct"/>
    <n v="12"/>
    <s v="und"/>
    <m/>
    <n v="33"/>
    <n v="33"/>
    <n v="0"/>
    <n v="0"/>
    <n v="0"/>
    <n v="0"/>
    <x v="13"/>
    <x v="20"/>
    <n v="32"/>
    <n v="32"/>
    <n v="1340.04"/>
  </r>
  <r>
    <s v="1.3.2.21"/>
    <s v="Acabamentos Elétricos"/>
    <x v="25"/>
    <s v="Acabamentos ElétricosPAV2"/>
    <x v="1"/>
    <s v="TIPO"/>
    <n v="2"/>
    <d v="2022-03-30T00:00:00"/>
    <d v="2022-04-01T00:00:00"/>
    <m/>
    <m/>
    <n v="0"/>
    <n v="0"/>
    <m/>
    <m/>
    <x v="0"/>
    <s v="GEPINT"/>
    <x v="3"/>
    <s v="GEPINT_PAV2"/>
    <s v="ACAB"/>
    <s v="Construct"/>
    <n v="4"/>
    <s v="apto"/>
    <m/>
    <n v="33"/>
    <n v="33"/>
    <n v="0"/>
    <n v="0"/>
    <n v="0"/>
    <n v="0"/>
    <x v="13"/>
    <x v="20"/>
    <n v="32"/>
    <n v="32"/>
    <n v="0"/>
  </r>
  <r>
    <s v="1.3.2.22"/>
    <s v="Pintura Final"/>
    <x v="26"/>
    <s v="Pintura FinalPAV2"/>
    <x v="1"/>
    <s v="TIPO"/>
    <n v="5"/>
    <d v="2022-04-06T00:00:00"/>
    <d v="2022-04-13T00:00:00"/>
    <m/>
    <m/>
    <n v="3687.38"/>
    <n v="0"/>
    <m/>
    <m/>
    <x v="0"/>
    <s v="GEPINT"/>
    <x v="3"/>
    <s v="GEPINT_PAV2"/>
    <s v="PINTF"/>
    <s v="Construct"/>
    <n v="614.55999999999995"/>
    <s v="m²"/>
    <m/>
    <n v="34"/>
    <n v="35"/>
    <n v="0"/>
    <n v="0"/>
    <n v="0"/>
    <n v="0"/>
    <x v="16"/>
    <x v="21"/>
    <n v="34"/>
    <n v="35"/>
    <n v="3687.38"/>
  </r>
  <r>
    <s v="1.3.2.23"/>
    <s v="Complementação e Limpeza"/>
    <x v="27"/>
    <s v="Complementação e LimpezaPAV2"/>
    <x v="1"/>
    <s v="TIPO"/>
    <n v="2"/>
    <d v="2022-04-20T00:00:00"/>
    <d v="2022-04-22T00:00:00"/>
    <m/>
    <m/>
    <n v="500"/>
    <n v="0"/>
    <m/>
    <m/>
    <x v="0"/>
    <s v="GEPINT"/>
    <x v="3"/>
    <s v="GEPINT_PAV2"/>
    <s v="COMPL"/>
    <s v="Construct"/>
    <n v="0.25"/>
    <s v="torre"/>
    <m/>
    <n v="36"/>
    <n v="36"/>
    <n v="0"/>
    <n v="0"/>
    <n v="0"/>
    <n v="0"/>
    <x v="20"/>
    <x v="15"/>
    <n v="35"/>
    <n v="35"/>
    <n v="500"/>
  </r>
  <r>
    <s v="1.4"/>
    <s v="PAV3"/>
    <x v="0"/>
    <s v="PAV3"/>
    <x v="0"/>
    <m/>
    <n v="132"/>
    <d v="2021-10-25T00:00:00"/>
    <d v="2022-04-27T00:00:00"/>
    <m/>
    <m/>
    <m/>
    <n v="0"/>
    <m/>
    <m/>
    <x v="0"/>
    <m/>
    <x v="0"/>
    <s v="_"/>
    <n v="0"/>
    <n v="0"/>
    <m/>
    <m/>
    <m/>
    <n v="11"/>
    <n v="37"/>
    <n v="0"/>
    <n v="0"/>
    <n v="0"/>
    <n v="0"/>
    <x v="21"/>
    <x v="22"/>
    <n v="11"/>
    <n v="36"/>
    <n v="0"/>
  </r>
  <r>
    <s v="1.4.2.3"/>
    <s v="Alvenaria Estrutural"/>
    <x v="6"/>
    <s v="Alvenaria EstruturalPAV3"/>
    <x v="1"/>
    <s v="TIPO"/>
    <n v="5"/>
    <d v="2021-10-25T00:00:00"/>
    <d v="2021-10-29T00:00:00"/>
    <d v="2021-11-01T00:00:00"/>
    <d v="2021-11-05T00:00:00"/>
    <n v="96851.74"/>
    <n v="0"/>
    <m/>
    <m/>
    <x v="1"/>
    <s v="ALV"/>
    <x v="4"/>
    <s v="ALV_PAV3"/>
    <s v="ALV"/>
    <s v="Construct"/>
    <n v="390.7"/>
    <s v="m²"/>
    <n v="1"/>
    <n v="11"/>
    <n v="11"/>
    <n v="96851.74"/>
    <n v="12"/>
    <n v="12"/>
    <n v="96851.74"/>
    <x v="1"/>
    <x v="1"/>
    <n v="0"/>
    <n v="0"/>
    <n v="0"/>
  </r>
  <r>
    <s v="1.4.2.4"/>
    <s v="Estrutura Moldado in Loco"/>
    <x v="7"/>
    <s v="Estrutura Moldado in LocoPAV3"/>
    <x v="1"/>
    <s v="TIPO"/>
    <n v="5"/>
    <d v="2021-11-01T00:00:00"/>
    <d v="2021-11-05T00:00:00"/>
    <d v="2021-11-08T00:00:00"/>
    <d v="2021-11-12T00:00:00"/>
    <n v="64892.03"/>
    <n v="0"/>
    <m/>
    <m/>
    <x v="1"/>
    <s v="ESTINLOCO"/>
    <x v="4"/>
    <s v="ESTINLOCO_PAV3"/>
    <s v="ESTINLOCO"/>
    <s v="Construct"/>
    <n v="25.44"/>
    <s v="m³"/>
    <n v="1"/>
    <n v="12"/>
    <n v="12"/>
    <n v="64892.03"/>
    <n v="13"/>
    <n v="13"/>
    <n v="64892.03"/>
    <x v="1"/>
    <x v="1"/>
    <n v="0"/>
    <n v="0"/>
    <n v="0"/>
  </r>
  <r>
    <s v="1.4.2.5"/>
    <s v="Instalações Hidrossanitárias"/>
    <x v="8"/>
    <s v="Instalações HidrossanitáriasPAV3"/>
    <x v="1"/>
    <s v="TIPO"/>
    <n v="5"/>
    <d v="2021-11-15T00:00:00"/>
    <d v="2021-11-19T00:00:00"/>
    <d v="2021-11-22T00:00:00"/>
    <d v="2021-11-26T00:00:00"/>
    <n v="13455.89"/>
    <n v="0"/>
    <m/>
    <m/>
    <x v="1"/>
    <s v="HIDRO"/>
    <x v="4"/>
    <s v="HIDRO_PAV3"/>
    <s v="HIDRO"/>
    <s v="Construct"/>
    <n v="1"/>
    <s v="pvto"/>
    <n v="1"/>
    <n v="14"/>
    <n v="14"/>
    <n v="13455.89"/>
    <n v="15"/>
    <n v="15"/>
    <n v="13455.89"/>
    <x v="1"/>
    <x v="1"/>
    <n v="0"/>
    <n v="0"/>
    <n v="0"/>
  </r>
  <r>
    <s v="1.4.2.6"/>
    <s v="Reboco Interno"/>
    <x v="9"/>
    <s v="Reboco InternoPAV3"/>
    <x v="1"/>
    <s v="TIPO"/>
    <n v="5"/>
    <d v="2021-11-29T00:00:00"/>
    <d v="2021-12-03T00:00:00"/>
    <d v="2021-11-29T00:00:00"/>
    <d v="2021-12-03T00:00:00"/>
    <n v="984.14"/>
    <n v="0"/>
    <m/>
    <m/>
    <x v="1"/>
    <s v="REBINT"/>
    <x v="4"/>
    <s v="REBINT_PAV3"/>
    <s v="REBINT"/>
    <s v="Construct"/>
    <n v="140.59"/>
    <s v="m²"/>
    <n v="1"/>
    <n v="16"/>
    <n v="16"/>
    <n v="984.14"/>
    <n v="16"/>
    <n v="16"/>
    <n v="984.14"/>
    <x v="1"/>
    <x v="1"/>
    <n v="0"/>
    <n v="0"/>
    <n v="0"/>
  </r>
  <r>
    <s v="1.4.2.7"/>
    <s v="Shaft "/>
    <x v="10"/>
    <s v="Shaft PAV3"/>
    <x v="1"/>
    <s v="TIPO"/>
    <n v="2"/>
    <d v="2021-12-27T00:00:00"/>
    <d v="2021-12-29T00:00:00"/>
    <d v="2021-12-27T00:00:00"/>
    <m/>
    <n v="3159.37"/>
    <n v="0"/>
    <m/>
    <m/>
    <x v="0"/>
    <s v="SHAFT"/>
    <x v="4"/>
    <s v="SHAFT_PAV3"/>
    <s v="SHAFT"/>
    <s v="Construct"/>
    <n v="10.69"/>
    <s v="m²"/>
    <n v="1"/>
    <n v="20"/>
    <n v="20"/>
    <n v="3159.37"/>
    <n v="20"/>
    <n v="0"/>
    <n v="0"/>
    <x v="22"/>
    <x v="23"/>
    <n v="21"/>
    <n v="21"/>
    <n v="3159.37"/>
  </r>
  <r>
    <s v="1.4.2.8"/>
    <s v="Impermeabilização"/>
    <x v="11"/>
    <s v="ImpermeabilizaçãoPAV3"/>
    <x v="1"/>
    <s v="TIPO"/>
    <n v="5"/>
    <d v="2022-01-05T00:00:00"/>
    <d v="2022-01-12T00:00:00"/>
    <m/>
    <m/>
    <n v="239.07"/>
    <n v="0"/>
    <m/>
    <m/>
    <x v="0"/>
    <s v="IMP"/>
    <x v="4"/>
    <s v="IMP_PAV3"/>
    <s v="IMP"/>
    <s v="Construct"/>
    <n v="6.08"/>
    <s v="m²"/>
    <m/>
    <n v="21"/>
    <n v="22"/>
    <n v="0"/>
    <n v="0"/>
    <n v="0"/>
    <n v="0"/>
    <x v="4"/>
    <x v="4"/>
    <n v="22"/>
    <n v="23"/>
    <n v="239.07"/>
  </r>
  <r>
    <s v="1.4.2.9"/>
    <s v="Cerâmica"/>
    <x v="12"/>
    <s v="CerâmicaPAV3"/>
    <x v="1"/>
    <s v="TIPO"/>
    <n v="5"/>
    <d v="2022-01-12T00:00:00"/>
    <d v="2022-01-19T00:00:00"/>
    <m/>
    <m/>
    <n v="20435.66"/>
    <n v="0"/>
    <m/>
    <m/>
    <x v="0"/>
    <s v="CERAM"/>
    <x v="4"/>
    <s v="CERAM_PAV3"/>
    <s v="CERAM"/>
    <s v="Construct"/>
    <n v="86.26"/>
    <s v="m²"/>
    <m/>
    <n v="22"/>
    <n v="23"/>
    <n v="0"/>
    <n v="0"/>
    <n v="0"/>
    <n v="0"/>
    <x v="18"/>
    <x v="16"/>
    <n v="23"/>
    <n v="24"/>
    <n v="20435.66"/>
  </r>
  <r>
    <s v="1.4.2.10"/>
    <s v="Gesso Liso"/>
    <x v="13"/>
    <s v="Gesso LisoPAV3"/>
    <x v="1"/>
    <s v="TIPO"/>
    <n v="5"/>
    <d v="2022-01-19T00:00:00"/>
    <d v="2022-01-26T00:00:00"/>
    <m/>
    <m/>
    <n v="6811.28"/>
    <n v="0"/>
    <m/>
    <m/>
    <x v="0"/>
    <s v="GEPINT"/>
    <x v="4"/>
    <s v="GEPINT_PAV3"/>
    <s v="GESSO"/>
    <s v="Construct"/>
    <n v="447.45"/>
    <s v="m²"/>
    <m/>
    <n v="23"/>
    <n v="24"/>
    <n v="0"/>
    <n v="0"/>
    <n v="0"/>
    <n v="0"/>
    <x v="5"/>
    <x v="24"/>
    <n v="24"/>
    <n v="25"/>
    <n v="6811.28"/>
  </r>
  <r>
    <s v="1.4.2.11"/>
    <s v="Esquadria "/>
    <x v="14"/>
    <s v="Esquadria PAV3"/>
    <x v="1"/>
    <s v="TIPO"/>
    <n v="5"/>
    <d v="2022-01-26T00:00:00"/>
    <d v="2022-02-02T00:00:00"/>
    <m/>
    <m/>
    <n v="26500"/>
    <n v="0"/>
    <m/>
    <m/>
    <x v="0"/>
    <s v="ESQ"/>
    <x v="4"/>
    <s v="ESQ_PAV3"/>
    <s v="ESQ"/>
    <s v="Construct"/>
    <n v="21"/>
    <s v="und"/>
    <m/>
    <n v="24"/>
    <n v="25"/>
    <n v="0"/>
    <n v="0"/>
    <n v="0"/>
    <n v="0"/>
    <x v="23"/>
    <x v="6"/>
    <n v="25"/>
    <n v="26"/>
    <n v="26500"/>
  </r>
  <r>
    <s v="1.4.2.12"/>
    <s v="Fiação"/>
    <x v="15"/>
    <s v="FiaçãoPAV3"/>
    <x v="1"/>
    <s v="TIPO"/>
    <n v="5"/>
    <d v="2022-02-02T00:00:00"/>
    <d v="2022-02-09T00:00:00"/>
    <m/>
    <m/>
    <n v="5134.5200000000004"/>
    <n v="0"/>
    <m/>
    <m/>
    <x v="0"/>
    <s v="GEPINT"/>
    <x v="4"/>
    <s v="GEPINT_PAV3"/>
    <s v="FIA"/>
    <s v="Construct"/>
    <n v="4"/>
    <s v="apto"/>
    <m/>
    <n v="25"/>
    <n v="26"/>
    <n v="0"/>
    <n v="0"/>
    <n v="0"/>
    <n v="0"/>
    <x v="8"/>
    <x v="8"/>
    <n v="27"/>
    <n v="28"/>
    <n v="5134.5200000000004"/>
  </r>
  <r>
    <s v="1.4.2.13"/>
    <s v="Forro"/>
    <x v="16"/>
    <s v="ForroPAV3"/>
    <x v="1"/>
    <s v="TIPO"/>
    <n v="5"/>
    <d v="2022-02-09T00:00:00"/>
    <d v="2022-02-16T00:00:00"/>
    <m/>
    <m/>
    <n v="2297.4899999999998"/>
    <n v="0"/>
    <m/>
    <m/>
    <x v="0"/>
    <s v="FOR"/>
    <x v="4"/>
    <s v="FOR_PAV3"/>
    <s v="FOR"/>
    <s v="Construct"/>
    <n v="29.29"/>
    <s v="m²"/>
    <m/>
    <n v="26"/>
    <n v="27"/>
    <n v="0"/>
    <n v="0"/>
    <n v="0"/>
    <n v="0"/>
    <x v="10"/>
    <x v="9"/>
    <n v="28"/>
    <n v="29"/>
    <n v="2297.4899999999998"/>
  </r>
  <r>
    <s v="1.4.2.17"/>
    <s v="Rev. da Circulação"/>
    <x v="17"/>
    <s v="Rev. da CirculaçãoPAV3"/>
    <x v="1"/>
    <s v="TIPO"/>
    <n v="5"/>
    <d v="2022-02-16T00:00:00"/>
    <d v="2022-02-23T00:00:00"/>
    <m/>
    <m/>
    <n v="3617.43"/>
    <n v="0"/>
    <m/>
    <m/>
    <x v="0"/>
    <s v="REVCIRC"/>
    <x v="4"/>
    <s v="REVCIRC_PAV3"/>
    <s v="REVCIRC"/>
    <s v="Construct"/>
    <n v="22.5"/>
    <s v="m²"/>
    <m/>
    <n v="27"/>
    <n v="28"/>
    <n v="0"/>
    <n v="0"/>
    <n v="0"/>
    <n v="0"/>
    <x v="19"/>
    <x v="19"/>
    <n v="29"/>
    <n v="30"/>
    <n v="3617.43"/>
  </r>
  <r>
    <s v="1.4.2.14"/>
    <s v="Disjuntores e CD"/>
    <x v="18"/>
    <s v="Disjuntores e CDPAV3"/>
    <x v="1"/>
    <s v="TIPO"/>
    <n v="2"/>
    <d v="2022-02-21T00:00:00"/>
    <d v="2022-02-23T00:00:00"/>
    <m/>
    <m/>
    <n v="1400"/>
    <n v="0"/>
    <m/>
    <m/>
    <x v="0"/>
    <s v="DISJ"/>
    <x v="4"/>
    <s v="DISJ_PAV3"/>
    <s v="DISJ"/>
    <s v="Construct"/>
    <n v="4"/>
    <s v="apto"/>
    <m/>
    <n v="28"/>
    <n v="28"/>
    <n v="0"/>
    <n v="0"/>
    <n v="0"/>
    <n v="0"/>
    <x v="24"/>
    <x v="9"/>
    <n v="28"/>
    <n v="29"/>
    <n v="1400"/>
  </r>
  <r>
    <s v="1.4.2.16"/>
    <s v="Pintura Interna - 1ªdmão"/>
    <x v="19"/>
    <s v="Pintura Interna - 1ªdmãoPAV3"/>
    <x v="1"/>
    <s v="TIPO"/>
    <n v="5"/>
    <d v="2022-03-02T00:00:00"/>
    <d v="2022-03-09T00:00:00"/>
    <m/>
    <m/>
    <n v="14799.65"/>
    <n v="0"/>
    <m/>
    <m/>
    <x v="0"/>
    <s v="GEPINT"/>
    <x v="4"/>
    <s v="GEPINT_PAV3"/>
    <s v="PINT"/>
    <s v="Construct"/>
    <n v="476.74"/>
    <s v="m²"/>
    <m/>
    <n v="29"/>
    <n v="30"/>
    <n v="0"/>
    <n v="0"/>
    <n v="0"/>
    <n v="0"/>
    <x v="25"/>
    <x v="10"/>
    <n v="30"/>
    <n v="31"/>
    <n v="14799.65"/>
  </r>
  <r>
    <s v="1.4.2.24"/>
    <s v="Esquadria de Ferro Circulação"/>
    <x v="22"/>
    <s v="Esquadria de Ferro CirculaçãoPAV3"/>
    <x v="1"/>
    <s v="TIPO"/>
    <n v="2"/>
    <d v="2022-03-02T00:00:00"/>
    <d v="2022-03-04T00:00:00"/>
    <m/>
    <m/>
    <n v="2054.02"/>
    <n v="0"/>
    <m/>
    <m/>
    <x v="0"/>
    <s v="EF"/>
    <x v="4"/>
    <s v="EF_PAV3"/>
    <s v="EF"/>
    <s v="Construct"/>
    <n v="4.17"/>
    <s v="und"/>
    <m/>
    <n v="29"/>
    <n v="29"/>
    <n v="0"/>
    <n v="0"/>
    <n v="0"/>
    <n v="0"/>
    <x v="11"/>
    <x v="10"/>
    <n v="30"/>
    <n v="31"/>
    <n v="2054.02"/>
  </r>
  <r>
    <s v="1.4.2.18"/>
    <s v="Louças"/>
    <x v="20"/>
    <s v="LouçasPAV3"/>
    <x v="1"/>
    <s v="TIPO"/>
    <n v="5"/>
    <d v="2022-03-09T00:00:00"/>
    <d v="2022-03-16T00:00:00"/>
    <m/>
    <m/>
    <n v="5236.0200000000004"/>
    <n v="0"/>
    <m/>
    <m/>
    <x v="0"/>
    <s v="LOU"/>
    <x v="4"/>
    <s v="LOU_PAV3"/>
    <s v="LOU"/>
    <s v="Construct"/>
    <n v="16"/>
    <s v="und"/>
    <m/>
    <n v="30"/>
    <n v="31"/>
    <n v="0"/>
    <n v="0"/>
    <n v="0"/>
    <n v="0"/>
    <x v="14"/>
    <x v="13"/>
    <n v="31"/>
    <n v="32"/>
    <n v="5236.0200000000004"/>
  </r>
  <r>
    <s v="1.4.2.19"/>
    <s v="Portas de Madeira"/>
    <x v="21"/>
    <s v="Portas de MadeiraPAV3"/>
    <x v="1"/>
    <s v="TIPO"/>
    <n v="5"/>
    <d v="2022-03-16T00:00:00"/>
    <d v="2022-03-23T00:00:00"/>
    <m/>
    <m/>
    <n v="10400"/>
    <n v="0"/>
    <m/>
    <m/>
    <x v="0"/>
    <s v="PM"/>
    <x v="4"/>
    <s v="PM_PAV3"/>
    <s v="PM"/>
    <s v="Construct"/>
    <n v="20"/>
    <s v="m"/>
    <m/>
    <n v="31"/>
    <n v="32"/>
    <n v="0"/>
    <n v="0"/>
    <n v="0"/>
    <n v="0"/>
    <x v="13"/>
    <x v="20"/>
    <n v="32"/>
    <n v="32"/>
    <n v="10400"/>
  </r>
  <r>
    <s v="1.4.2.15"/>
    <s v="Piso Laminado + Rodapé"/>
    <x v="23"/>
    <s v="Piso Laminado + RodapéPAV3"/>
    <x v="1"/>
    <s v="TIPO"/>
    <n v="5"/>
    <d v="2022-03-23T00:00:00"/>
    <d v="2022-03-30T00:00:00"/>
    <m/>
    <m/>
    <n v="13171.26"/>
    <n v="0"/>
    <m/>
    <m/>
    <x v="0"/>
    <s v="LAM"/>
    <x v="4"/>
    <s v="LAM_PAV3"/>
    <s v="LAM"/>
    <s v="Construct"/>
    <n v="80.88"/>
    <s v="m²"/>
    <m/>
    <n v="32"/>
    <n v="33"/>
    <n v="0"/>
    <n v="0"/>
    <n v="0"/>
    <n v="0"/>
    <x v="16"/>
    <x v="21"/>
    <n v="34"/>
    <n v="35"/>
    <n v="13171.26"/>
  </r>
  <r>
    <s v="1.4.2.20"/>
    <s v="Metais"/>
    <x v="24"/>
    <s v="MetaisPAV3"/>
    <x v="1"/>
    <s v="TIPO"/>
    <n v="2"/>
    <d v="2022-04-04T00:00:00"/>
    <d v="2022-04-06T00:00:00"/>
    <m/>
    <m/>
    <n v="1340.04"/>
    <n v="0"/>
    <m/>
    <m/>
    <x v="0"/>
    <s v="METAIS"/>
    <x v="4"/>
    <s v="METAIS_PAV3"/>
    <s v="METAIS"/>
    <s v="Construct"/>
    <n v="12"/>
    <s v="und"/>
    <m/>
    <n v="34"/>
    <n v="34"/>
    <n v="0"/>
    <n v="0"/>
    <n v="0"/>
    <n v="0"/>
    <x v="26"/>
    <x v="12"/>
    <n v="32"/>
    <n v="33"/>
    <n v="1340.04"/>
  </r>
  <r>
    <s v="1.4.2.21"/>
    <s v="Acabamentos Elétricos"/>
    <x v="25"/>
    <s v="Acabamentos ElétricosPAV3"/>
    <x v="1"/>
    <s v="TIPO"/>
    <n v="2"/>
    <d v="2022-04-04T00:00:00"/>
    <d v="2022-04-06T00:00:00"/>
    <m/>
    <m/>
    <n v="0"/>
    <n v="0"/>
    <m/>
    <m/>
    <x v="0"/>
    <s v="GEPINT"/>
    <x v="4"/>
    <s v="GEPINT_PAV3"/>
    <s v="ACAB"/>
    <s v="Construct"/>
    <n v="4"/>
    <s v="apto"/>
    <m/>
    <n v="34"/>
    <n v="34"/>
    <n v="0"/>
    <n v="0"/>
    <n v="0"/>
    <n v="0"/>
    <x v="26"/>
    <x v="12"/>
    <n v="32"/>
    <n v="33"/>
    <n v="0"/>
  </r>
  <r>
    <s v="1.4.2.22"/>
    <s v="Pintura Final"/>
    <x v="26"/>
    <s v="Pintura FinalPAV3"/>
    <x v="1"/>
    <s v="TIPO"/>
    <n v="5"/>
    <d v="2022-04-13T00:00:00"/>
    <d v="2022-04-20T00:00:00"/>
    <m/>
    <m/>
    <n v="3687.38"/>
    <n v="0"/>
    <m/>
    <m/>
    <x v="0"/>
    <s v="GEPINT"/>
    <x v="4"/>
    <s v="GEPINT_PAV3"/>
    <s v="PINTF"/>
    <s v="Construct"/>
    <n v="614.55999999999995"/>
    <s v="m²"/>
    <m/>
    <n v="35"/>
    <n v="36"/>
    <n v="0"/>
    <n v="0"/>
    <n v="0"/>
    <n v="0"/>
    <x v="20"/>
    <x v="25"/>
    <n v="35"/>
    <n v="36"/>
    <n v="3687.38"/>
  </r>
  <r>
    <s v="1.4.2.23"/>
    <s v="Complementação e Limpeza"/>
    <x v="27"/>
    <s v="Complementação e LimpezaPAV3"/>
    <x v="1"/>
    <s v="TIPO"/>
    <n v="2"/>
    <d v="2022-04-25T00:00:00"/>
    <d v="2022-04-27T00:00:00"/>
    <m/>
    <m/>
    <n v="500"/>
    <n v="0"/>
    <m/>
    <m/>
    <x v="0"/>
    <s v="GEPINT"/>
    <x v="4"/>
    <s v="GEPINT_PAV3"/>
    <s v="COMPL"/>
    <s v="Construct"/>
    <n v="0.25"/>
    <s v="torre"/>
    <m/>
    <n v="37"/>
    <n v="37"/>
    <n v="0"/>
    <n v="0"/>
    <n v="0"/>
    <n v="0"/>
    <x v="27"/>
    <x v="22"/>
    <n v="36"/>
    <n v="36"/>
    <n v="500"/>
  </r>
  <r>
    <s v="1.5"/>
    <s v="PAV4"/>
    <x v="0"/>
    <s v="PAV4"/>
    <x v="0"/>
    <m/>
    <n v="125"/>
    <d v="2021-11-08T00:00:00"/>
    <d v="2022-04-29T00:00:00"/>
    <m/>
    <m/>
    <m/>
    <n v="0"/>
    <m/>
    <m/>
    <x v="0"/>
    <m/>
    <x v="0"/>
    <s v="_"/>
    <n v="0"/>
    <n v="0"/>
    <m/>
    <m/>
    <m/>
    <n v="13"/>
    <n v="37"/>
    <n v="0"/>
    <n v="0"/>
    <n v="0"/>
    <n v="0"/>
    <x v="28"/>
    <x v="26"/>
    <n v="13"/>
    <n v="37"/>
    <n v="0"/>
  </r>
  <r>
    <s v="1.5.2.3"/>
    <s v="Alvenaria Estrutural"/>
    <x v="6"/>
    <s v="Alvenaria EstruturalPAV4"/>
    <x v="1"/>
    <s v="TIPO"/>
    <n v="5"/>
    <d v="2021-11-08T00:00:00"/>
    <d v="2021-11-12T00:00:00"/>
    <d v="2021-11-15T00:00:00"/>
    <d v="2021-11-19T00:00:00"/>
    <n v="96851.74"/>
    <n v="0"/>
    <m/>
    <m/>
    <x v="1"/>
    <s v="ALV"/>
    <x v="5"/>
    <s v="ALV_PAV4"/>
    <s v="ALV"/>
    <s v="Construct"/>
    <n v="390.7"/>
    <s v="m²"/>
    <n v="1"/>
    <n v="13"/>
    <n v="13"/>
    <n v="96851.74"/>
    <n v="14"/>
    <n v="14"/>
    <n v="96851.74"/>
    <x v="1"/>
    <x v="1"/>
    <n v="0"/>
    <n v="0"/>
    <n v="0"/>
  </r>
  <r>
    <s v="1.5.2.4"/>
    <s v="Estrutura Moldado in Loco"/>
    <x v="7"/>
    <s v="Estrutura Moldado in LocoPAV4"/>
    <x v="1"/>
    <s v="TIPO"/>
    <n v="5"/>
    <d v="2021-11-15T00:00:00"/>
    <d v="2021-11-19T00:00:00"/>
    <d v="2021-11-22T00:00:00"/>
    <d v="2021-11-26T00:00:00"/>
    <n v="68188.039999999994"/>
    <n v="0"/>
    <m/>
    <m/>
    <x v="1"/>
    <s v="ESTINLOCO"/>
    <x v="5"/>
    <s v="ESTINLOCO_PAV4"/>
    <s v="ESTINLOCO"/>
    <s v="Construct"/>
    <n v="26.73"/>
    <s v="m³"/>
    <n v="1"/>
    <n v="14"/>
    <n v="14"/>
    <n v="68188.039999999994"/>
    <n v="15"/>
    <n v="15"/>
    <n v="68188.039999999994"/>
    <x v="1"/>
    <x v="1"/>
    <n v="0"/>
    <n v="0"/>
    <n v="0"/>
  </r>
  <r>
    <s v="1.5.2.5"/>
    <s v="Instalações Hidrossanitárias"/>
    <x v="8"/>
    <s v="Instalações HidrossanitáriasPAV4"/>
    <x v="1"/>
    <s v="TIPO"/>
    <n v="5"/>
    <d v="2021-11-22T00:00:00"/>
    <d v="2021-11-26T00:00:00"/>
    <d v="2021-11-15T00:00:00"/>
    <d v="2021-11-19T00:00:00"/>
    <n v="13455.89"/>
    <n v="0"/>
    <m/>
    <m/>
    <x v="1"/>
    <s v="HIDRO"/>
    <x v="5"/>
    <s v="HIDRO_PAV4"/>
    <s v="HIDRO"/>
    <s v="Construct"/>
    <n v="1"/>
    <s v="pvto"/>
    <n v="1"/>
    <n v="15"/>
    <n v="15"/>
    <n v="13455.89"/>
    <n v="14"/>
    <n v="14"/>
    <n v="13455.89"/>
    <x v="1"/>
    <x v="1"/>
    <n v="0"/>
    <n v="0"/>
    <n v="0"/>
  </r>
  <r>
    <s v="1.5.2.6"/>
    <s v="Reboco Interno"/>
    <x v="9"/>
    <s v="Reboco InternoPAV4"/>
    <x v="1"/>
    <s v="TIPO"/>
    <n v="5"/>
    <d v="2021-12-06T00:00:00"/>
    <d v="2021-12-10T00:00:00"/>
    <d v="2021-12-06T00:00:00"/>
    <d v="2021-12-10T00:00:00"/>
    <n v="984.14"/>
    <n v="0"/>
    <m/>
    <m/>
    <x v="1"/>
    <s v="REBINT"/>
    <x v="5"/>
    <s v="REBINT_PAV4"/>
    <s v="REBINT"/>
    <s v="Construct"/>
    <n v="140.59"/>
    <s v="m²"/>
    <n v="1"/>
    <n v="17"/>
    <n v="17"/>
    <n v="984.14"/>
    <n v="17"/>
    <n v="17"/>
    <n v="984.14"/>
    <x v="1"/>
    <x v="1"/>
    <n v="0"/>
    <n v="0"/>
    <n v="0"/>
  </r>
  <r>
    <s v="1.5.2.7"/>
    <s v="Shaft "/>
    <x v="10"/>
    <s v="Shaft PAV4"/>
    <x v="1"/>
    <s v="TIPO"/>
    <n v="2"/>
    <d v="2021-12-29T00:00:00"/>
    <d v="2021-12-31T00:00:00"/>
    <m/>
    <m/>
    <n v="3159.37"/>
    <n v="0"/>
    <m/>
    <m/>
    <x v="0"/>
    <s v="SHAFT"/>
    <x v="5"/>
    <s v="SHAFT_PAV4"/>
    <s v="SHAFT"/>
    <s v="Construct"/>
    <n v="10.69"/>
    <s v="m²"/>
    <n v="1"/>
    <n v="20"/>
    <n v="20"/>
    <n v="3159.37"/>
    <n v="0"/>
    <n v="0"/>
    <n v="0"/>
    <x v="29"/>
    <x v="27"/>
    <n v="21"/>
    <n v="21"/>
    <n v="3159.37"/>
  </r>
  <r>
    <s v="1.5.2.8"/>
    <s v="Impermeabilização"/>
    <x v="11"/>
    <s v="ImpermeabilizaçãoPAV4"/>
    <x v="1"/>
    <s v="TIPO"/>
    <n v="5"/>
    <d v="2022-01-12T00:00:00"/>
    <d v="2022-01-19T00:00:00"/>
    <m/>
    <m/>
    <n v="239.07"/>
    <n v="0"/>
    <m/>
    <m/>
    <x v="0"/>
    <s v="IMP"/>
    <x v="5"/>
    <s v="IMP_PAV4"/>
    <s v="IMP"/>
    <s v="Construct"/>
    <n v="6.08"/>
    <s v="m²"/>
    <m/>
    <n v="22"/>
    <n v="23"/>
    <n v="0"/>
    <n v="0"/>
    <n v="0"/>
    <n v="0"/>
    <x v="18"/>
    <x v="16"/>
    <n v="23"/>
    <n v="24"/>
    <n v="239.07"/>
  </r>
  <r>
    <s v="1.5.2.9"/>
    <s v="Cerâmica"/>
    <x v="12"/>
    <s v="CerâmicaPAV4"/>
    <x v="1"/>
    <s v="TIPO"/>
    <n v="5"/>
    <d v="2022-01-19T00:00:00"/>
    <d v="2022-01-26T00:00:00"/>
    <m/>
    <m/>
    <n v="20435.66"/>
    <n v="0"/>
    <m/>
    <m/>
    <x v="0"/>
    <s v="CERAM"/>
    <x v="5"/>
    <s v="CERAM_PAV4"/>
    <s v="CERAM"/>
    <s v="Construct"/>
    <n v="86.26"/>
    <s v="m²"/>
    <m/>
    <n v="23"/>
    <n v="24"/>
    <n v="0"/>
    <n v="0"/>
    <n v="0"/>
    <n v="0"/>
    <x v="5"/>
    <x v="24"/>
    <n v="24"/>
    <n v="25"/>
    <n v="20435.66"/>
  </r>
  <r>
    <s v="1.5.2.10"/>
    <s v="Gesso Liso"/>
    <x v="13"/>
    <s v="Gesso LisoPAV4"/>
    <x v="1"/>
    <s v="TIPO"/>
    <n v="5"/>
    <d v="2022-01-26T00:00:00"/>
    <d v="2022-02-02T00:00:00"/>
    <m/>
    <m/>
    <n v="6811.28"/>
    <n v="0"/>
    <m/>
    <m/>
    <x v="0"/>
    <s v="GEPINT"/>
    <x v="5"/>
    <s v="GEPINT_PAV4"/>
    <s v="GESSO"/>
    <s v="Construct"/>
    <n v="447.45"/>
    <s v="m²"/>
    <m/>
    <n v="24"/>
    <n v="25"/>
    <n v="0"/>
    <n v="0"/>
    <n v="0"/>
    <n v="0"/>
    <x v="23"/>
    <x v="28"/>
    <n v="25"/>
    <n v="26"/>
    <n v="6811.28"/>
  </r>
  <r>
    <s v="1.5.2.11"/>
    <s v="Esquadria "/>
    <x v="14"/>
    <s v="Esquadria PAV4"/>
    <x v="1"/>
    <s v="TIPO"/>
    <n v="5"/>
    <d v="2022-02-02T00:00:00"/>
    <d v="2022-02-09T00:00:00"/>
    <m/>
    <m/>
    <n v="26500"/>
    <n v="0"/>
    <m/>
    <m/>
    <x v="0"/>
    <s v="ESQ"/>
    <x v="5"/>
    <s v="ESQ_PAV4"/>
    <s v="ESQ"/>
    <s v="Construct"/>
    <n v="21"/>
    <s v="und"/>
    <m/>
    <n v="25"/>
    <n v="26"/>
    <n v="0"/>
    <n v="0"/>
    <n v="0"/>
    <n v="0"/>
    <x v="30"/>
    <x v="7"/>
    <n v="26"/>
    <n v="27"/>
    <n v="26500"/>
  </r>
  <r>
    <s v="1.5.2.12"/>
    <s v="Fiação"/>
    <x v="15"/>
    <s v="FiaçãoPAV4"/>
    <x v="1"/>
    <s v="TIPO"/>
    <n v="5"/>
    <d v="2022-02-09T00:00:00"/>
    <d v="2022-02-16T00:00:00"/>
    <m/>
    <m/>
    <n v="5134.5200000000004"/>
    <n v="0"/>
    <m/>
    <m/>
    <x v="0"/>
    <s v="GEPINT"/>
    <x v="5"/>
    <s v="GEPINT_PAV4"/>
    <s v="FIA"/>
    <s v="Construct"/>
    <n v="4"/>
    <s v="apto"/>
    <m/>
    <n v="26"/>
    <n v="27"/>
    <n v="0"/>
    <n v="0"/>
    <n v="0"/>
    <n v="0"/>
    <x v="10"/>
    <x v="9"/>
    <n v="28"/>
    <n v="29"/>
    <n v="5134.5200000000004"/>
  </r>
  <r>
    <s v="1.5.2.13"/>
    <s v="Forro"/>
    <x v="16"/>
    <s v="ForroPAV4"/>
    <x v="1"/>
    <s v="TIPO"/>
    <n v="5"/>
    <d v="2022-02-16T00:00:00"/>
    <d v="2022-02-23T00:00:00"/>
    <m/>
    <m/>
    <n v="2297.4899999999998"/>
    <n v="0"/>
    <m/>
    <m/>
    <x v="0"/>
    <s v="FOR"/>
    <x v="5"/>
    <s v="FOR_PAV4"/>
    <s v="FOR"/>
    <s v="Construct"/>
    <n v="29.29"/>
    <s v="m²"/>
    <m/>
    <n v="27"/>
    <n v="28"/>
    <n v="0"/>
    <n v="0"/>
    <n v="0"/>
    <n v="0"/>
    <x v="19"/>
    <x v="19"/>
    <n v="29"/>
    <n v="30"/>
    <n v="2297.4899999999998"/>
  </r>
  <r>
    <s v="1.5.2.14"/>
    <s v="Disjuntores e CD"/>
    <x v="18"/>
    <s v="Disjuntores e CDPAV4"/>
    <x v="1"/>
    <s v="TIPO"/>
    <n v="2"/>
    <d v="2022-02-23T00:00:00"/>
    <d v="2022-02-25T00:00:00"/>
    <m/>
    <m/>
    <n v="1400"/>
    <n v="0"/>
    <m/>
    <m/>
    <x v="0"/>
    <s v="DISJ"/>
    <x v="5"/>
    <s v="DISJ_PAV4"/>
    <s v="DISJ"/>
    <s v="Construct"/>
    <n v="4"/>
    <s v="m²"/>
    <m/>
    <n v="28"/>
    <n v="28"/>
    <n v="0"/>
    <n v="0"/>
    <n v="0"/>
    <n v="0"/>
    <x v="19"/>
    <x v="29"/>
    <n v="29"/>
    <n v="29"/>
    <n v="1400"/>
  </r>
  <r>
    <s v="1.5.2.17"/>
    <s v="Rev. da Circulação"/>
    <x v="17"/>
    <s v="Rev. da CirculaçãoPAV4"/>
    <x v="1"/>
    <s v="TIPO"/>
    <n v="5"/>
    <d v="2022-02-23T00:00:00"/>
    <d v="2022-03-02T00:00:00"/>
    <m/>
    <m/>
    <n v="3617.43"/>
    <n v="0"/>
    <m/>
    <m/>
    <x v="0"/>
    <s v="REVCIRC"/>
    <x v="5"/>
    <s v="REVCIRC_PAV4"/>
    <s v="REVCIRC"/>
    <s v="Construct"/>
    <n v="22.5"/>
    <s v="apto"/>
    <m/>
    <n v="28"/>
    <n v="29"/>
    <n v="0"/>
    <n v="0"/>
    <n v="0"/>
    <n v="0"/>
    <x v="25"/>
    <x v="10"/>
    <n v="30"/>
    <n v="31"/>
    <n v="3617.43"/>
  </r>
  <r>
    <s v="1.5.2.24"/>
    <s v="Esquadria de Ferro Circulação"/>
    <x v="22"/>
    <s v="Esquadria de Ferro CirculaçãoPAV4"/>
    <x v="1"/>
    <s v="TIPO"/>
    <n v="2"/>
    <d v="2022-03-02T00:00:00"/>
    <d v="2022-03-04T00:00:00"/>
    <m/>
    <m/>
    <n v="2054.02"/>
    <n v="0"/>
    <m/>
    <m/>
    <x v="0"/>
    <s v="EF"/>
    <x v="5"/>
    <s v="EF_PAV4"/>
    <s v="EF"/>
    <s v="Construct"/>
    <n v="4.17"/>
    <s v="m²"/>
    <m/>
    <n v="29"/>
    <n v="29"/>
    <n v="0"/>
    <n v="0"/>
    <n v="0"/>
    <n v="0"/>
    <x v="11"/>
    <x v="10"/>
    <n v="30"/>
    <n v="31"/>
    <n v="2054.02"/>
  </r>
  <r>
    <s v="1.5.2.16"/>
    <s v="Pintura Interna - 1ªdmão"/>
    <x v="19"/>
    <s v="Pintura Interna - 1ªdmãoPAV4"/>
    <x v="1"/>
    <s v="TIPO"/>
    <n v="5"/>
    <d v="2022-03-09T00:00:00"/>
    <d v="2022-03-16T00:00:00"/>
    <m/>
    <m/>
    <n v="14799.65"/>
    <n v="0"/>
    <m/>
    <m/>
    <x v="0"/>
    <s v="GEPINT"/>
    <x v="5"/>
    <s v="GEPINT_PAV4"/>
    <s v="PINT"/>
    <s v="Construct"/>
    <n v="476.74"/>
    <s v="und"/>
    <m/>
    <n v="30"/>
    <n v="31"/>
    <n v="0"/>
    <n v="0"/>
    <n v="0"/>
    <n v="0"/>
    <x v="12"/>
    <x v="13"/>
    <n v="31"/>
    <n v="32"/>
    <n v="14799.65"/>
  </r>
  <r>
    <s v="1.5.2.18"/>
    <s v="Louças"/>
    <x v="20"/>
    <s v="LouçasPAV4"/>
    <x v="1"/>
    <s v="TIPO"/>
    <n v="5"/>
    <d v="2022-03-16T00:00:00"/>
    <d v="2022-03-23T00:00:00"/>
    <m/>
    <m/>
    <n v="5236.0200000000004"/>
    <n v="0"/>
    <m/>
    <m/>
    <x v="0"/>
    <s v="LOU"/>
    <x v="5"/>
    <s v="LOU_PAV4"/>
    <s v="LOU"/>
    <s v="Construct"/>
    <n v="16"/>
    <s v="und"/>
    <m/>
    <n v="31"/>
    <n v="32"/>
    <n v="0"/>
    <n v="0"/>
    <n v="0"/>
    <n v="0"/>
    <x v="13"/>
    <x v="20"/>
    <n v="32"/>
    <n v="32"/>
    <n v="5236.0200000000004"/>
  </r>
  <r>
    <s v="1.5.2.19"/>
    <s v="Portas de Madeira"/>
    <x v="21"/>
    <s v="Portas de MadeiraPAV4"/>
    <x v="1"/>
    <s v="TIPO"/>
    <n v="5"/>
    <d v="2022-03-23T00:00:00"/>
    <d v="2022-03-30T00:00:00"/>
    <m/>
    <m/>
    <n v="10400"/>
    <n v="0"/>
    <m/>
    <m/>
    <x v="0"/>
    <s v="PM"/>
    <x v="5"/>
    <s v="PM_PAV4"/>
    <s v="PM"/>
    <s v="Construct"/>
    <n v="20"/>
    <s v="m"/>
    <m/>
    <n v="32"/>
    <n v="33"/>
    <n v="0"/>
    <n v="0"/>
    <n v="0"/>
    <n v="0"/>
    <x v="26"/>
    <x v="12"/>
    <n v="32"/>
    <n v="33"/>
    <n v="10400"/>
  </r>
  <r>
    <s v="1.5.2.15"/>
    <s v="Piso Laminado + Rodapé"/>
    <x v="23"/>
    <s v="Piso Laminado + RodapéPAV4"/>
    <x v="1"/>
    <s v="TIPO"/>
    <n v="5"/>
    <d v="2022-03-30T00:00:00"/>
    <d v="2022-04-06T00:00:00"/>
    <m/>
    <m/>
    <n v="13171.26"/>
    <n v="0"/>
    <m/>
    <m/>
    <x v="0"/>
    <s v="LAM"/>
    <x v="5"/>
    <s v="LAM_PAV4"/>
    <s v="LAM"/>
    <s v="Construct"/>
    <n v="80.88"/>
    <s v="m²"/>
    <m/>
    <n v="33"/>
    <n v="34"/>
    <n v="0"/>
    <n v="0"/>
    <n v="0"/>
    <n v="0"/>
    <x v="20"/>
    <x v="25"/>
    <n v="35"/>
    <n v="36"/>
    <n v="13171.26"/>
  </r>
  <r>
    <s v="1.5.2.20"/>
    <s v="Metais"/>
    <x v="24"/>
    <s v="MetaisPAV4"/>
    <x v="1"/>
    <s v="TIPO"/>
    <n v="2"/>
    <d v="2022-04-06T00:00:00"/>
    <d v="2022-04-08T00:00:00"/>
    <m/>
    <m/>
    <n v="1340.04"/>
    <n v="0"/>
    <m/>
    <m/>
    <x v="0"/>
    <s v="METAIS"/>
    <x v="5"/>
    <s v="METAIS_PAV4"/>
    <s v="METAIS"/>
    <s v="Construct"/>
    <n v="12"/>
    <s v="und"/>
    <m/>
    <n v="34"/>
    <n v="34"/>
    <n v="0"/>
    <n v="0"/>
    <n v="0"/>
    <n v="0"/>
    <x v="15"/>
    <x v="30"/>
    <n v="33"/>
    <n v="33"/>
    <n v="1340.04"/>
  </r>
  <r>
    <s v="1.5.2.21"/>
    <s v="Acabamentos Elétricos"/>
    <x v="25"/>
    <s v="Acabamentos ElétricosPAV4"/>
    <x v="1"/>
    <s v="TIPO"/>
    <n v="2"/>
    <d v="2022-04-06T00:00:00"/>
    <d v="2022-04-08T00:00:00"/>
    <m/>
    <m/>
    <n v="0"/>
    <n v="0"/>
    <m/>
    <m/>
    <x v="0"/>
    <s v="GEPINT"/>
    <x v="5"/>
    <s v="GEPINT_PAV4"/>
    <s v="ACAB"/>
    <s v="Construct"/>
    <n v="4"/>
    <s v="apto"/>
    <m/>
    <n v="34"/>
    <n v="34"/>
    <n v="0"/>
    <n v="0"/>
    <n v="0"/>
    <n v="0"/>
    <x v="15"/>
    <x v="30"/>
    <n v="33"/>
    <n v="33"/>
    <n v="0"/>
  </r>
  <r>
    <s v="1.5.2.22"/>
    <s v="Pintura Final"/>
    <x v="26"/>
    <s v="Pintura FinalPAV4"/>
    <x v="1"/>
    <s v="TIPO"/>
    <n v="5"/>
    <d v="2022-04-20T00:00:00"/>
    <d v="2022-04-27T00:00:00"/>
    <m/>
    <m/>
    <n v="3687.38"/>
    <n v="0"/>
    <m/>
    <m/>
    <x v="0"/>
    <s v="GEPINT"/>
    <x v="5"/>
    <s v="GEPINT_PAV4"/>
    <s v="PINTF"/>
    <s v="Construct"/>
    <n v="614.55999999999995"/>
    <s v="m²"/>
    <m/>
    <n v="36"/>
    <n v="37"/>
    <n v="0"/>
    <n v="0"/>
    <n v="0"/>
    <n v="0"/>
    <x v="27"/>
    <x v="31"/>
    <n v="36"/>
    <n v="37"/>
    <n v="3687.38"/>
  </r>
  <r>
    <s v="1.5.2.23"/>
    <s v="Complementação e Limpeza"/>
    <x v="27"/>
    <s v="Complementação e LimpezaPAV4"/>
    <x v="1"/>
    <s v="TIPO"/>
    <n v="2"/>
    <d v="2022-04-27T00:00:00"/>
    <d v="2022-04-29T00:00:00"/>
    <m/>
    <m/>
    <n v="500"/>
    <n v="0"/>
    <m/>
    <m/>
    <x v="0"/>
    <s v="GEPINT"/>
    <x v="5"/>
    <s v="GEPINT_PAV4"/>
    <s v="COMPL"/>
    <s v="Construct"/>
    <n v="0.25"/>
    <s v="torre"/>
    <m/>
    <n v="37"/>
    <n v="37"/>
    <n v="0"/>
    <n v="0"/>
    <n v="0"/>
    <n v="0"/>
    <x v="31"/>
    <x v="26"/>
    <n v="37"/>
    <n v="37"/>
    <n v="500"/>
  </r>
  <r>
    <s v="1.6"/>
    <s v="COB"/>
    <x v="0"/>
    <s v="COB"/>
    <x v="0"/>
    <m/>
    <n v="25"/>
    <d v="2021-11-22T00:00:00"/>
    <d v="2021-12-24T00:00:00"/>
    <m/>
    <m/>
    <m/>
    <n v="0"/>
    <m/>
    <m/>
    <x v="0"/>
    <m/>
    <x v="0"/>
    <s v="_"/>
    <n v="0"/>
    <n v="0"/>
    <m/>
    <m/>
    <m/>
    <n v="15"/>
    <n v="19"/>
    <n v="0"/>
    <n v="0"/>
    <n v="0"/>
    <n v="0"/>
    <x v="32"/>
    <x v="32"/>
    <n v="15"/>
    <n v="19"/>
    <n v="0"/>
  </r>
  <r>
    <s v="1.6.3.1"/>
    <s v="Alvenaria Estrutural"/>
    <x v="6"/>
    <s v="Alvenaria EstruturalCOB"/>
    <x v="1"/>
    <s v="COBERTURA"/>
    <n v="5"/>
    <d v="2021-11-22T00:00:00"/>
    <d v="2021-11-26T00:00:00"/>
    <d v="2021-11-29T00:00:00"/>
    <d v="2021-12-03T00:00:00"/>
    <n v="20252.84"/>
    <n v="0"/>
    <m/>
    <m/>
    <x v="1"/>
    <s v="ALV"/>
    <x v="6"/>
    <s v="ALV_COB"/>
    <s v="ALV"/>
    <s v="Construct"/>
    <n v="81.7"/>
    <s v="m²"/>
    <n v="1"/>
    <n v="15"/>
    <n v="15"/>
    <n v="20252.84"/>
    <n v="16"/>
    <n v="16"/>
    <n v="20252.84"/>
    <x v="1"/>
    <x v="1"/>
    <n v="0"/>
    <n v="0"/>
    <n v="0"/>
  </r>
  <r>
    <s v="1.6.3.2"/>
    <s v="Instalações Hidrossanitárias"/>
    <x v="28"/>
    <s v="Instalações HidrossanitáriasCOB"/>
    <x v="1"/>
    <s v="COBERTURA"/>
    <n v="5"/>
    <d v="2021-11-29T00:00:00"/>
    <d v="2021-12-03T00:00:00"/>
    <d v="2021-11-08T00:00:00"/>
    <d v="2021-11-12T00:00:00"/>
    <n v="0"/>
    <n v="0"/>
    <m/>
    <m/>
    <x v="1"/>
    <s v="HIDRO"/>
    <x v="6"/>
    <s v="HIDRO_COB"/>
    <s v="HIDRO"/>
    <s v="Construct"/>
    <s v=" -   "/>
    <m/>
    <n v="1"/>
    <n v="16"/>
    <n v="16"/>
    <n v="0"/>
    <n v="13"/>
    <n v="13"/>
    <n v="0"/>
    <x v="1"/>
    <x v="1"/>
    <n v="0"/>
    <n v="0"/>
    <n v="0"/>
  </r>
  <r>
    <s v="1.6.3.3"/>
    <s v="Impermeabilização do Telhado"/>
    <x v="29"/>
    <s v="Impermeabilização do TelhadoCOB"/>
    <x v="1"/>
    <s v="COBERTURA"/>
    <n v="5"/>
    <d v="2021-12-06T00:00:00"/>
    <d v="2021-12-10T00:00:00"/>
    <m/>
    <m/>
    <m/>
    <n v="0"/>
    <m/>
    <m/>
    <x v="1"/>
    <s v="TELHA"/>
    <x v="6"/>
    <s v="TELHA_COB"/>
    <s v="IMPTEL"/>
    <s v="Construct"/>
    <s v=" -   "/>
    <m/>
    <n v="1"/>
    <n v="17"/>
    <n v="17"/>
    <n v="0"/>
    <n v="0"/>
    <n v="0"/>
    <n v="0"/>
    <x v="1"/>
    <x v="1"/>
    <n v="0"/>
    <n v="0"/>
    <n v="0"/>
  </r>
  <r>
    <s v="1.6.3.4"/>
    <s v="Telhado"/>
    <x v="30"/>
    <s v="TelhadoCOB"/>
    <x v="1"/>
    <s v="COBERTURA"/>
    <n v="5"/>
    <d v="2021-12-13T00:00:00"/>
    <d v="2021-12-17T00:00:00"/>
    <d v="2021-12-13T00:00:00"/>
    <d v="2021-12-17T00:00:00"/>
    <n v="51093.03"/>
    <n v="0"/>
    <m/>
    <m/>
    <x v="1"/>
    <s v="TELHA"/>
    <x v="6"/>
    <s v="TELHA_COB"/>
    <s v="TEL"/>
    <s v="Construct"/>
    <n v="243.7"/>
    <s v="m²"/>
    <n v="1"/>
    <n v="18"/>
    <n v="18"/>
    <n v="51093.03"/>
    <n v="18"/>
    <n v="18"/>
    <n v="51093.03"/>
    <x v="1"/>
    <x v="1"/>
    <n v="0"/>
    <n v="0"/>
    <n v="0"/>
  </r>
  <r>
    <s v="1.6.3.5"/>
    <s v="Algerosas + Rufos"/>
    <x v="31"/>
    <s v="Algerosas + RufosCOB"/>
    <x v="1"/>
    <s v="COBERTURA"/>
    <n v="5"/>
    <d v="2021-12-20T00:00:00"/>
    <d v="2021-12-24T00:00:00"/>
    <d v="2021-12-20T00:00:00"/>
    <d v="2021-12-24T00:00:00"/>
    <n v="10092.26"/>
    <n v="0"/>
    <m/>
    <m/>
    <x v="1"/>
    <s v="ALV"/>
    <x v="6"/>
    <s v="ALV_COB"/>
    <s v="ALG"/>
    <s v="Construct"/>
    <n v="75.180000000000007"/>
    <s v="m"/>
    <n v="1"/>
    <n v="19"/>
    <n v="19"/>
    <n v="10092.26"/>
    <n v="19"/>
    <n v="19"/>
    <n v="10092.26"/>
    <x v="1"/>
    <x v="1"/>
    <n v="0"/>
    <n v="0"/>
    <n v="0"/>
  </r>
  <r>
    <n v="3"/>
    <s v="FACHADA"/>
    <x v="0"/>
    <s v="FACHADA"/>
    <x v="0"/>
    <m/>
    <n v="84"/>
    <d v="2021-11-26T00:00:00"/>
    <d v="2022-03-23T00:00:00"/>
    <m/>
    <m/>
    <m/>
    <n v="0"/>
    <m/>
    <m/>
    <x v="0"/>
    <m/>
    <x v="0"/>
    <s v="_"/>
    <n v="0"/>
    <n v="0"/>
    <m/>
    <m/>
    <m/>
    <n v="15"/>
    <n v="32"/>
    <n v="0"/>
    <n v="0"/>
    <n v="0"/>
    <n v="0"/>
    <x v="22"/>
    <x v="33"/>
    <n v="21"/>
    <n v="32"/>
    <n v="0"/>
  </r>
  <r>
    <s v="3.1"/>
    <s v="PANO 1"/>
    <x v="0"/>
    <s v="PANO 1"/>
    <x v="0"/>
    <m/>
    <n v="59"/>
    <d v="2021-11-26T00:00:00"/>
    <d v="2022-02-16T00:00:00"/>
    <m/>
    <m/>
    <m/>
    <n v="0"/>
    <m/>
    <m/>
    <x v="0"/>
    <m/>
    <x v="0"/>
    <s v="_"/>
    <n v="0"/>
    <n v="0"/>
    <m/>
    <m/>
    <m/>
    <n v="15"/>
    <n v="27"/>
    <n v="0"/>
    <n v="0"/>
    <n v="0"/>
    <n v="0"/>
    <x v="22"/>
    <x v="34"/>
    <n v="21"/>
    <n v="27"/>
    <n v="0"/>
  </r>
  <r>
    <s v="3.1.4.1"/>
    <s v="Reboco Externo"/>
    <x v="32"/>
    <s v="Reboco ExternoPANO1"/>
    <x v="1"/>
    <s v="FACHADA"/>
    <n v="5"/>
    <d v="2021-11-26T00:00:00"/>
    <d v="2021-12-02T00:00:00"/>
    <m/>
    <m/>
    <n v="14038.64"/>
    <n v="0"/>
    <m/>
    <m/>
    <x v="0"/>
    <s v="REVEXT"/>
    <x v="7"/>
    <s v="REVEXT_PANO1"/>
    <s v="REBEXT"/>
    <s v="Construct"/>
    <n v="126.22"/>
    <s v="m²"/>
    <n v="1"/>
    <n v="15"/>
    <n v="16"/>
    <n v="14038.64"/>
    <n v="0"/>
    <n v="0"/>
    <n v="0"/>
    <x v="22"/>
    <x v="27"/>
    <n v="21"/>
    <n v="21"/>
    <n v="14038.64"/>
  </r>
  <r>
    <s v="3.1.4.2"/>
    <s v="Pintura Externa "/>
    <x v="33"/>
    <s v="Pintura Externa PANO1"/>
    <x v="1"/>
    <s v="FACHADA"/>
    <n v="5"/>
    <d v="2022-02-10T00:00:00"/>
    <d v="2022-02-16T00:00:00"/>
    <m/>
    <m/>
    <n v="6273.9"/>
    <n v="0"/>
    <m/>
    <m/>
    <x v="0"/>
    <s v="REVEXT"/>
    <x v="7"/>
    <s v="REVEXT_PANO1"/>
    <s v="PINTEXT"/>
    <s v="Construct"/>
    <n v="126.22"/>
    <s v="m²"/>
    <m/>
    <n v="26"/>
    <n v="27"/>
    <n v="0"/>
    <n v="0"/>
    <n v="0"/>
    <n v="0"/>
    <x v="30"/>
    <x v="34"/>
    <n v="26"/>
    <n v="27"/>
    <n v="6273.9"/>
  </r>
  <r>
    <s v="3.2"/>
    <s v="PANO 2"/>
    <x v="0"/>
    <s v="PANO 2"/>
    <x v="0"/>
    <m/>
    <n v="59"/>
    <d v="2021-12-03T00:00:00"/>
    <d v="2022-02-23T00:00:00"/>
    <m/>
    <m/>
    <m/>
    <n v="0"/>
    <m/>
    <m/>
    <x v="0"/>
    <m/>
    <x v="0"/>
    <s v="_"/>
    <n v="0"/>
    <n v="0"/>
    <m/>
    <m/>
    <m/>
    <n v="16"/>
    <n v="28"/>
    <n v="0"/>
    <n v="0"/>
    <n v="0"/>
    <n v="0"/>
    <x v="22"/>
    <x v="35"/>
    <n v="21"/>
    <n v="28"/>
    <n v="0"/>
  </r>
  <r>
    <s v="3.2.4.1"/>
    <s v="Reboco Externo"/>
    <x v="32"/>
    <s v="Reboco ExternoPANO2"/>
    <x v="1"/>
    <s v="FACHADA"/>
    <n v="5"/>
    <d v="2021-12-03T00:00:00"/>
    <d v="2021-12-09T00:00:00"/>
    <m/>
    <m/>
    <n v="15850.42"/>
    <n v="0"/>
    <m/>
    <m/>
    <x v="0"/>
    <s v="REVEXT"/>
    <x v="8"/>
    <s v="REVEXT_PANO2"/>
    <s v="REBEXT"/>
    <s v="Construct"/>
    <n v="142.51"/>
    <s v="m²"/>
    <n v="1"/>
    <n v="16"/>
    <n v="17"/>
    <n v="15850.42"/>
    <n v="0"/>
    <n v="0"/>
    <n v="0"/>
    <x v="22"/>
    <x v="27"/>
    <n v="21"/>
    <n v="21"/>
    <n v="15850.42"/>
  </r>
  <r>
    <s v="3.2.4.2"/>
    <s v="Pintura Externa "/>
    <x v="33"/>
    <s v="Pintura Externa PANO2"/>
    <x v="1"/>
    <s v="FACHADA"/>
    <n v="5"/>
    <d v="2022-02-17T00:00:00"/>
    <d v="2022-02-23T00:00:00"/>
    <m/>
    <m/>
    <n v="7083.6"/>
    <n v="0"/>
    <m/>
    <m/>
    <x v="0"/>
    <s v="REVEXT"/>
    <x v="8"/>
    <s v="REVEXT_PANO2"/>
    <s v="PINTEXT"/>
    <s v="Construct"/>
    <n v="142.51"/>
    <s v="m²"/>
    <m/>
    <n v="27"/>
    <n v="28"/>
    <n v="0"/>
    <n v="0"/>
    <n v="0"/>
    <n v="0"/>
    <x v="9"/>
    <x v="35"/>
    <n v="27"/>
    <n v="28"/>
    <n v="7083.6"/>
  </r>
  <r>
    <s v="3.3"/>
    <s v="PANO 3"/>
    <x v="0"/>
    <s v="PANO 3"/>
    <x v="0"/>
    <m/>
    <n v="59"/>
    <d v="2021-12-10T00:00:00"/>
    <d v="2022-03-02T00:00:00"/>
    <m/>
    <m/>
    <m/>
    <n v="0"/>
    <m/>
    <m/>
    <x v="0"/>
    <m/>
    <x v="0"/>
    <s v="_"/>
    <n v="0"/>
    <n v="0"/>
    <m/>
    <m/>
    <m/>
    <n v="17"/>
    <n v="29"/>
    <n v="0"/>
    <n v="0"/>
    <n v="0"/>
    <n v="0"/>
    <x v="33"/>
    <x v="36"/>
    <n v="22"/>
    <n v="29"/>
    <n v="0"/>
  </r>
  <r>
    <s v="3.3.4.1"/>
    <s v="Reboco Externo"/>
    <x v="32"/>
    <s v="Reboco ExternoPANO3"/>
    <x v="1"/>
    <s v="FACHADA"/>
    <n v="5"/>
    <d v="2021-12-10T00:00:00"/>
    <d v="2021-12-16T00:00:00"/>
    <m/>
    <m/>
    <n v="12614.4"/>
    <n v="0"/>
    <m/>
    <m/>
    <x v="0"/>
    <s v="REVEXT"/>
    <x v="9"/>
    <s v="REVEXT_PANO3"/>
    <s v="REBEXT"/>
    <s v="Construct"/>
    <n v="113.41"/>
    <s v="m²"/>
    <n v="1"/>
    <n v="17"/>
    <n v="18"/>
    <n v="12614.4"/>
    <n v="0"/>
    <n v="0"/>
    <n v="0"/>
    <x v="33"/>
    <x v="37"/>
    <n v="22"/>
    <n v="22"/>
    <n v="12614.4"/>
  </r>
  <r>
    <s v="3.3.4.2"/>
    <s v="Pintura Externa "/>
    <x v="33"/>
    <s v="Pintura Externa PANO3"/>
    <x v="1"/>
    <s v="FACHADA"/>
    <n v="5"/>
    <d v="2022-02-24T00:00:00"/>
    <d v="2022-03-02T00:00:00"/>
    <m/>
    <m/>
    <n v="5637.41"/>
    <n v="0"/>
    <m/>
    <m/>
    <x v="0"/>
    <s v="REVEXT"/>
    <x v="9"/>
    <s v="REVEXT_PANO3"/>
    <s v="PINTEXT"/>
    <s v="Construct"/>
    <n v="113.41"/>
    <s v="m²"/>
    <m/>
    <n v="28"/>
    <n v="29"/>
    <n v="0"/>
    <n v="0"/>
    <n v="0"/>
    <n v="0"/>
    <x v="24"/>
    <x v="36"/>
    <n v="28"/>
    <n v="29"/>
    <n v="5637.41"/>
  </r>
  <r>
    <s v="3.4"/>
    <s v="PANO 4"/>
    <x v="0"/>
    <s v="PANO 4"/>
    <x v="0"/>
    <m/>
    <n v="59"/>
    <d v="2021-12-17T00:00:00"/>
    <d v="2022-03-09T00:00:00"/>
    <m/>
    <m/>
    <m/>
    <n v="0"/>
    <m/>
    <m/>
    <x v="0"/>
    <m/>
    <x v="0"/>
    <s v="_"/>
    <n v="0"/>
    <n v="0"/>
    <m/>
    <m/>
    <m/>
    <n v="18"/>
    <n v="30"/>
    <n v="0"/>
    <n v="0"/>
    <n v="0"/>
    <n v="0"/>
    <x v="33"/>
    <x v="38"/>
    <n v="22"/>
    <n v="30"/>
    <n v="0"/>
  </r>
  <r>
    <s v="3.4.4.1"/>
    <s v="Reboco Externo"/>
    <x v="32"/>
    <s v="Reboco ExternoPANO4"/>
    <x v="1"/>
    <s v="FACHADA"/>
    <n v="5"/>
    <d v="2021-12-17T00:00:00"/>
    <d v="2021-12-23T00:00:00"/>
    <m/>
    <m/>
    <n v="13885.55"/>
    <n v="0"/>
    <m/>
    <m/>
    <x v="0"/>
    <s v="REVEXT"/>
    <x v="10"/>
    <s v="REVEXT_PANO4"/>
    <s v="REBEXT"/>
    <s v="Construct"/>
    <n v="124.84"/>
    <s v="m²"/>
    <n v="1"/>
    <n v="18"/>
    <n v="19"/>
    <n v="13885.55"/>
    <n v="0"/>
    <n v="0"/>
    <n v="0"/>
    <x v="33"/>
    <x v="37"/>
    <n v="22"/>
    <n v="22"/>
    <n v="13885.55"/>
  </r>
  <r>
    <s v="3.4.4.2"/>
    <s v="Pintura Externa "/>
    <x v="33"/>
    <s v="Pintura Externa PANO4"/>
    <x v="1"/>
    <s v="FACHADA"/>
    <n v="5"/>
    <d v="2022-03-03T00:00:00"/>
    <d v="2022-03-09T00:00:00"/>
    <m/>
    <m/>
    <n v="6205.49"/>
    <n v="0"/>
    <m/>
    <m/>
    <x v="0"/>
    <s v="REVEXT"/>
    <x v="10"/>
    <s v="REVEXT_PANO4"/>
    <s v="PINTEXT"/>
    <s v="Construct"/>
    <n v="124.84"/>
    <s v="m²"/>
    <m/>
    <n v="29"/>
    <n v="30"/>
    <n v="0"/>
    <n v="0"/>
    <n v="0"/>
    <n v="0"/>
    <x v="34"/>
    <x v="38"/>
    <n v="29"/>
    <n v="30"/>
    <n v="6205.49"/>
  </r>
  <r>
    <s v="3.5"/>
    <s v="PANO 5"/>
    <x v="0"/>
    <s v="PANO 5"/>
    <x v="0"/>
    <m/>
    <n v="59"/>
    <d v="2021-12-24T00:00:00"/>
    <d v="2022-03-16T00:00:00"/>
    <m/>
    <m/>
    <m/>
    <n v="0"/>
    <m/>
    <m/>
    <x v="0"/>
    <m/>
    <x v="0"/>
    <s v="_"/>
    <n v="0"/>
    <n v="0"/>
    <m/>
    <m/>
    <m/>
    <n v="19"/>
    <n v="31"/>
    <n v="0"/>
    <n v="0"/>
    <n v="0"/>
    <n v="0"/>
    <x v="35"/>
    <x v="39"/>
    <n v="23"/>
    <n v="31"/>
    <n v="0"/>
  </r>
  <r>
    <s v="3.5.4.1"/>
    <s v="Reboco Externo"/>
    <x v="32"/>
    <s v="Reboco ExternoPANO5"/>
    <x v="1"/>
    <s v="FACHADA"/>
    <n v="5"/>
    <d v="2021-12-24T00:00:00"/>
    <d v="2021-12-30T00:00:00"/>
    <m/>
    <m/>
    <n v="15397.94"/>
    <n v="0"/>
    <m/>
    <m/>
    <x v="0"/>
    <s v="REVEXT"/>
    <x v="11"/>
    <s v="REVEXT_PANO5"/>
    <s v="REBEXT"/>
    <s v="Construct"/>
    <n v="138.44"/>
    <s v="m²"/>
    <n v="1"/>
    <n v="19"/>
    <n v="20"/>
    <n v="15397.94"/>
    <n v="0"/>
    <n v="0"/>
    <n v="0"/>
    <x v="35"/>
    <x v="40"/>
    <n v="23"/>
    <n v="23"/>
    <n v="15397.94"/>
  </r>
  <r>
    <s v="3.5.4.2"/>
    <s v="Pintura Externa "/>
    <x v="33"/>
    <s v="Pintura Externa PANO5"/>
    <x v="1"/>
    <s v="FACHADA"/>
    <n v="5"/>
    <d v="2022-03-10T00:00:00"/>
    <d v="2022-03-16T00:00:00"/>
    <m/>
    <m/>
    <n v="6881.38"/>
    <n v="0"/>
    <m/>
    <m/>
    <x v="0"/>
    <s v="REVEXT"/>
    <x v="11"/>
    <s v="REVEXT_PANO5"/>
    <s v="PINTEXT"/>
    <s v="Construct"/>
    <n v="138.44"/>
    <s v="m²"/>
    <m/>
    <n v="30"/>
    <n v="31"/>
    <n v="0"/>
    <n v="0"/>
    <n v="0"/>
    <n v="0"/>
    <x v="11"/>
    <x v="39"/>
    <n v="30"/>
    <n v="31"/>
    <n v="6881.38"/>
  </r>
  <r>
    <s v="3.6"/>
    <s v="PANO 6"/>
    <x v="0"/>
    <s v="PANO 6"/>
    <x v="0"/>
    <m/>
    <n v="59"/>
    <d v="2021-12-31T00:00:00"/>
    <d v="2022-03-23T00:00:00"/>
    <m/>
    <m/>
    <m/>
    <n v="0"/>
    <m/>
    <m/>
    <x v="0"/>
    <m/>
    <x v="0"/>
    <s v="_"/>
    <n v="0"/>
    <n v="0"/>
    <m/>
    <m/>
    <m/>
    <n v="20"/>
    <n v="32"/>
    <n v="0"/>
    <n v="0"/>
    <n v="0"/>
    <n v="0"/>
    <x v="35"/>
    <x v="33"/>
    <n v="23"/>
    <n v="32"/>
    <n v="0"/>
  </r>
  <r>
    <s v="3.6.4.1"/>
    <s v="Reboco Externo"/>
    <x v="32"/>
    <s v="Reboco ExternoPANO6"/>
    <x v="1"/>
    <s v="FACHADA"/>
    <n v="5"/>
    <d v="2021-12-31T00:00:00"/>
    <d v="2022-01-06T00:00:00"/>
    <m/>
    <m/>
    <n v="11105.57"/>
    <n v="0"/>
    <m/>
    <m/>
    <x v="0"/>
    <s v="REVEXT"/>
    <x v="12"/>
    <s v="REVEXT_PANO6"/>
    <s v="REBEXT"/>
    <s v="Construct"/>
    <n v="99.85"/>
    <s v="m²"/>
    <n v="0.2"/>
    <n v="20"/>
    <n v="21"/>
    <n v="2221.114"/>
    <n v="0"/>
    <n v="0"/>
    <n v="0"/>
    <x v="35"/>
    <x v="40"/>
    <n v="23"/>
    <n v="23"/>
    <n v="11105.57"/>
  </r>
  <r>
    <s v="3.6.4.2"/>
    <s v="Pintura Externa "/>
    <x v="33"/>
    <s v="Pintura Externa PANO6"/>
    <x v="1"/>
    <s v="FACHADA"/>
    <n v="5"/>
    <d v="2022-03-17T00:00:00"/>
    <d v="2022-03-23T00:00:00"/>
    <m/>
    <m/>
    <n v="4963.1099999999997"/>
    <n v="0"/>
    <m/>
    <m/>
    <x v="0"/>
    <s v="REVEXT"/>
    <x v="12"/>
    <s v="REVEXT_PANO6"/>
    <s v="PINTEXT"/>
    <s v="Construct"/>
    <n v="99.85"/>
    <s v="m²"/>
    <m/>
    <n v="31"/>
    <n v="32"/>
    <n v="0"/>
    <n v="0"/>
    <n v="0"/>
    <n v="0"/>
    <x v="14"/>
    <x v="33"/>
    <n v="31"/>
    <n v="32"/>
    <n v="4963.1099999999997"/>
  </r>
  <r>
    <m/>
    <m/>
    <x v="0"/>
    <m/>
    <x v="0"/>
    <m/>
    <m/>
    <m/>
    <m/>
    <m/>
    <m/>
    <m/>
    <m/>
    <m/>
    <m/>
    <x v="3"/>
    <m/>
    <x v="0"/>
    <m/>
    <m/>
    <m/>
    <m/>
    <m/>
    <m/>
    <m/>
    <m/>
    <m/>
    <m/>
    <m/>
    <m/>
    <x v="0"/>
    <x v="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n v="1"/>
    <x v="0"/>
    <x v="0"/>
    <x v="0"/>
    <x v="0"/>
    <m/>
    <n v="185"/>
    <d v="2021-08-16T00:00:00"/>
    <d v="2022-04-29T00:00:00"/>
    <m/>
    <x v="0"/>
    <m/>
    <n v="0"/>
    <m/>
    <m/>
    <x v="0"/>
    <m/>
    <x v="0"/>
    <m/>
    <m/>
    <m/>
    <m/>
    <m/>
    <n v="0"/>
    <m/>
    <m/>
    <n v="1"/>
    <x v="0"/>
    <n v="0"/>
    <n v="0"/>
    <m/>
    <n v="0"/>
    <x v="0"/>
    <n v="0"/>
    <m/>
    <m/>
    <n v="0"/>
    <n v="0"/>
    <n v="0"/>
    <m/>
    <m/>
    <m/>
    <m/>
    <m/>
  </r>
  <r>
    <s v="1.1"/>
    <x v="1"/>
    <x v="0"/>
    <x v="1"/>
    <x v="0"/>
    <m/>
    <n v="30"/>
    <d v="2021-08-16T00:00:00"/>
    <d v="2021-09-24T00:00:00"/>
    <m/>
    <x v="0"/>
    <m/>
    <n v="0"/>
    <m/>
    <m/>
    <x v="0"/>
    <m/>
    <x v="0"/>
    <m/>
    <m/>
    <m/>
    <m/>
    <m/>
    <n v="0"/>
    <m/>
    <m/>
    <n v="1"/>
    <x v="1"/>
    <n v="0"/>
    <n v="0"/>
    <m/>
    <n v="0"/>
    <x v="0"/>
    <n v="0"/>
    <m/>
    <m/>
    <n v="0"/>
    <n v="0"/>
    <n v="0"/>
    <m/>
    <m/>
    <m/>
    <m/>
    <m/>
  </r>
  <r>
    <s v="1.1.1.1"/>
    <x v="2"/>
    <x v="1"/>
    <x v="2"/>
    <x v="1"/>
    <s v="FUNDAÇÃO"/>
    <n v="5"/>
    <d v="2021-08-16T00:00:00"/>
    <d v="2021-08-20T00:00:00"/>
    <d v="2021-08-16T00:00:00"/>
    <x v="1"/>
    <n v="2720.55"/>
    <n v="0"/>
    <m/>
    <m/>
    <x v="1"/>
    <n v="0"/>
    <x v="1"/>
    <s v="0_FUND"/>
    <n v="0"/>
    <n v="0"/>
    <n v="74.739999999999995"/>
    <s v="m²"/>
    <n v="1.7727530793745002E-3"/>
    <m/>
    <n v="1"/>
    <n v="1"/>
    <x v="2"/>
    <n v="2720.55"/>
    <n v="5"/>
    <m/>
    <n v="1"/>
    <x v="1"/>
    <n v="2720.55"/>
    <s v="executado"/>
    <s v="executado"/>
    <n v="0"/>
    <n v="0"/>
    <n v="0"/>
    <m/>
    <m/>
    <m/>
    <m/>
    <m/>
  </r>
  <r>
    <s v="1.1.1.2"/>
    <x v="3"/>
    <x v="2"/>
    <x v="3"/>
    <x v="1"/>
    <s v="FUNDAÇÃO"/>
    <n v="10"/>
    <d v="2021-08-23T00:00:00"/>
    <d v="2021-09-03T00:00:00"/>
    <d v="2021-08-23T00:00:00"/>
    <x v="2"/>
    <n v="34356.19"/>
    <n v="0"/>
    <m/>
    <m/>
    <x v="1"/>
    <s v="EST"/>
    <x v="1"/>
    <s v="EST_FUND"/>
    <s v="EST"/>
    <s v="Construct"/>
    <n v="14.82"/>
    <s v="m³"/>
    <n v="2.2387032628724123E-2"/>
    <m/>
    <n v="1"/>
    <n v="2"/>
    <x v="3"/>
    <n v="34356.19"/>
    <n v="15"/>
    <m/>
    <n v="2"/>
    <x v="2"/>
    <n v="34356.19"/>
    <s v="executado"/>
    <s v="executado"/>
    <n v="0"/>
    <n v="0"/>
    <n v="0"/>
    <m/>
    <m/>
    <m/>
    <m/>
    <m/>
  </r>
  <r>
    <s v="1.1.1.3"/>
    <x v="4"/>
    <x v="3"/>
    <x v="4"/>
    <x v="1"/>
    <s v="FUNDAÇÃO"/>
    <n v="5"/>
    <d v="2021-09-06T00:00:00"/>
    <d v="2021-09-10T00:00:00"/>
    <d v="2021-09-13T00:00:00"/>
    <x v="3"/>
    <n v="70046.69"/>
    <n v="0"/>
    <m/>
    <m/>
    <x v="1"/>
    <s v="VGB"/>
    <x v="1"/>
    <s v="VGB_FUND"/>
    <s v="VGB"/>
    <s v="Construct"/>
    <n v="18.11"/>
    <s v="m³"/>
    <n v="4.5643522595611552E-2"/>
    <m/>
    <n v="1"/>
    <n v="4"/>
    <x v="4"/>
    <n v="70046.69"/>
    <n v="5"/>
    <m/>
    <n v="5"/>
    <x v="3"/>
    <n v="70046.69"/>
    <s v="executado"/>
    <s v="executado"/>
    <n v="0"/>
    <n v="0"/>
    <n v="0"/>
    <m/>
    <m/>
    <m/>
    <m/>
    <m/>
  </r>
  <r>
    <s v="1.1.1.4"/>
    <x v="5"/>
    <x v="4"/>
    <x v="5"/>
    <x v="1"/>
    <s v="FUNDAÇÃO"/>
    <n v="5"/>
    <d v="2021-09-13T00:00:00"/>
    <d v="2021-09-17T00:00:00"/>
    <d v="2021-09-20T00:00:00"/>
    <x v="4"/>
    <n v="350"/>
    <n v="0"/>
    <m/>
    <m/>
    <x v="1"/>
    <s v="INSENT"/>
    <x v="1"/>
    <s v="INSENT_FUND"/>
    <s v="INSENT"/>
    <s v="Construct"/>
    <n v="1"/>
    <s v="torre"/>
    <n v="2.2806549329403063E-4"/>
    <m/>
    <n v="1"/>
    <n v="5"/>
    <x v="5"/>
    <n v="350"/>
    <n v="3"/>
    <m/>
    <n v="6"/>
    <x v="4"/>
    <n v="350"/>
    <s v="executado"/>
    <s v="executado"/>
    <n v="0"/>
    <n v="0"/>
    <n v="0"/>
    <m/>
    <m/>
    <m/>
    <m/>
    <m/>
  </r>
  <r>
    <s v="1.1.1.5"/>
    <x v="6"/>
    <x v="5"/>
    <x v="6"/>
    <x v="1"/>
    <s v="FUNDAÇÃO"/>
    <n v="5"/>
    <d v="2021-09-20T00:00:00"/>
    <d v="2021-09-24T00:00:00"/>
    <d v="2021-09-22T00:00:00"/>
    <x v="5"/>
    <n v="34912.21"/>
    <n v="0"/>
    <m/>
    <m/>
    <x v="1"/>
    <s v="CONT"/>
    <x v="1"/>
    <s v="CONT_FUND"/>
    <s v="CONT"/>
    <s v="Construct"/>
    <n v="224.41"/>
    <s v="m²"/>
    <n v="2.2749343987527967E-2"/>
    <m/>
    <n v="1"/>
    <n v="6"/>
    <x v="1"/>
    <n v="34912.21"/>
    <n v="3"/>
    <m/>
    <n v="6"/>
    <x v="4"/>
    <n v="34912.21"/>
    <s v="executado"/>
    <s v="executado"/>
    <n v="0"/>
    <n v="0"/>
    <n v="0"/>
    <m/>
    <m/>
    <m/>
    <m/>
    <m/>
  </r>
  <r>
    <s v="1.2"/>
    <x v="7"/>
    <x v="0"/>
    <x v="7"/>
    <x v="0"/>
    <m/>
    <n v="147"/>
    <d v="2021-09-27T00:00:00"/>
    <d v="2022-04-20T00:00:00"/>
    <m/>
    <x v="0"/>
    <m/>
    <n v="0"/>
    <m/>
    <m/>
    <x v="0"/>
    <m/>
    <x v="0"/>
    <s v="_"/>
    <n v="0"/>
    <n v="0"/>
    <m/>
    <m/>
    <n v="0"/>
    <m/>
    <m/>
    <n v="7"/>
    <x v="6"/>
    <n v="0"/>
    <n v="0"/>
    <m/>
    <n v="0"/>
    <x v="0"/>
    <n v="0"/>
    <d v="2021-09-27T00:00:00"/>
    <d v="2022-04-07T00:00:00"/>
    <n v="7"/>
    <n v="34"/>
    <n v="0"/>
    <m/>
    <m/>
    <m/>
    <m/>
    <m/>
  </r>
  <r>
    <s v="1.2.2.3"/>
    <x v="8"/>
    <x v="6"/>
    <x v="8"/>
    <x v="1"/>
    <s v="TIPO"/>
    <n v="5"/>
    <d v="2021-09-27T00:00:00"/>
    <d v="2021-10-01T00:00:00"/>
    <d v="2021-09-27T00:00:00"/>
    <x v="6"/>
    <n v="96573.61"/>
    <n v="0"/>
    <m/>
    <m/>
    <x v="1"/>
    <s v="ALV"/>
    <x v="2"/>
    <s v="ALV_PAV1"/>
    <s v="ALV"/>
    <s v="Construct"/>
    <n v="389.58"/>
    <s v="m²"/>
    <n v="6.2928880010958088E-2"/>
    <m/>
    <n v="1"/>
    <n v="7"/>
    <x v="7"/>
    <n v="96573.61"/>
    <n v="10"/>
    <m/>
    <n v="7"/>
    <x v="5"/>
    <n v="96573.61"/>
    <s v="executado"/>
    <s v="executado"/>
    <n v="0"/>
    <n v="0"/>
    <n v="0"/>
    <m/>
    <m/>
    <m/>
    <m/>
    <m/>
  </r>
  <r>
    <s v="1.2.2.4"/>
    <x v="9"/>
    <x v="7"/>
    <x v="9"/>
    <x v="1"/>
    <s v="TIPO"/>
    <n v="5"/>
    <d v="2021-10-04T00:00:00"/>
    <d v="2021-10-08T00:00:00"/>
    <d v="2021-10-11T00:00:00"/>
    <x v="7"/>
    <n v="64892.03"/>
    <n v="0"/>
    <m/>
    <m/>
    <x v="1"/>
    <s v="ESTINLOCO"/>
    <x v="2"/>
    <s v="ESTINLOCO_PAV1"/>
    <s v="ESTINLOCO"/>
    <s v="Construct"/>
    <n v="25.44"/>
    <s v="m³"/>
    <n v="4.2284665236574384E-2"/>
    <m/>
    <n v="1"/>
    <n v="8"/>
    <x v="8"/>
    <n v="64892.03"/>
    <n v="5"/>
    <m/>
    <n v="9"/>
    <x v="6"/>
    <n v="64892.03"/>
    <s v="executado"/>
    <s v="executado"/>
    <n v="0"/>
    <n v="0"/>
    <n v="0"/>
    <m/>
    <m/>
    <m/>
    <m/>
    <m/>
  </r>
  <r>
    <s v="1.2.2.5"/>
    <x v="10"/>
    <x v="8"/>
    <x v="10"/>
    <x v="1"/>
    <s v="TIPO"/>
    <n v="5"/>
    <d v="2021-11-01T00:00:00"/>
    <d v="2021-11-05T00:00:00"/>
    <d v="2021-12-07T00:00:00"/>
    <x v="8"/>
    <n v="13455.89"/>
    <n v="0"/>
    <m/>
    <m/>
    <x v="1"/>
    <s v="HIDRO"/>
    <x v="2"/>
    <s v="HIDRO_PAV1"/>
    <s v="HIDRO"/>
    <s v="Construct"/>
    <n v="1"/>
    <s v="pvto"/>
    <n v="8.7680691158863247E-3"/>
    <m/>
    <n v="1"/>
    <n v="12"/>
    <x v="9"/>
    <n v="13455.89"/>
    <n v="6"/>
    <m/>
    <n v="17"/>
    <x v="7"/>
    <n v="13455.89"/>
    <s v="executado"/>
    <s v="executado"/>
    <n v="0"/>
    <n v="0"/>
    <n v="0"/>
    <m/>
    <m/>
    <m/>
    <m/>
    <m/>
  </r>
  <r>
    <s v="1.2.2.6"/>
    <x v="11"/>
    <x v="9"/>
    <x v="11"/>
    <x v="1"/>
    <s v="TIPO"/>
    <n v="5"/>
    <d v="2021-11-15T00:00:00"/>
    <d v="2021-11-19T00:00:00"/>
    <d v="2021-11-15T00:00:00"/>
    <x v="9"/>
    <n v="984.14"/>
    <n v="0"/>
    <m/>
    <m/>
    <x v="1"/>
    <s v="REBINT"/>
    <x v="2"/>
    <s v="REBINT_PAV1"/>
    <s v="REBINT"/>
    <s v="Construct"/>
    <n v="140.59"/>
    <s v="m²"/>
    <n v="6.4128107020110659E-4"/>
    <m/>
    <n v="1"/>
    <n v="14"/>
    <x v="10"/>
    <n v="984.14"/>
    <n v="5"/>
    <m/>
    <n v="14"/>
    <x v="8"/>
    <n v="984.14"/>
    <s v="executado"/>
    <s v="executado"/>
    <n v="0"/>
    <n v="0"/>
    <n v="0"/>
    <m/>
    <m/>
    <m/>
    <m/>
    <m/>
  </r>
  <r>
    <s v="1.2.2.7"/>
    <x v="12"/>
    <x v="10"/>
    <x v="12"/>
    <x v="1"/>
    <s v="TIPO"/>
    <n v="2"/>
    <d v="2021-12-20T00:00:00"/>
    <d v="2021-12-22T00:00:00"/>
    <d v="2021-12-20T00:00:00"/>
    <x v="10"/>
    <n v="3159.37"/>
    <n v="0"/>
    <m/>
    <m/>
    <x v="1"/>
    <s v="SHAFT"/>
    <x v="2"/>
    <s v="SHAFT_PAV1"/>
    <s v="SHAFT"/>
    <s v="Construct"/>
    <n v="10.69"/>
    <s v="m²"/>
    <n v="2.0586950787096045E-3"/>
    <m/>
    <n v="1"/>
    <n v="19"/>
    <x v="11"/>
    <n v="3159.37"/>
    <n v="3"/>
    <m/>
    <n v="19"/>
    <x v="9"/>
    <n v="3159.37"/>
    <s v="executado"/>
    <s v="executado"/>
    <n v="0"/>
    <n v="0"/>
    <n v="0"/>
    <m/>
    <m/>
    <m/>
    <m/>
    <m/>
  </r>
  <r>
    <s v="1.2.2.8"/>
    <x v="13"/>
    <x v="11"/>
    <x v="13"/>
    <x v="1"/>
    <s v="TIPO"/>
    <n v="5"/>
    <d v="2021-12-22T00:00:00"/>
    <d v="2021-12-29T00:00:00"/>
    <d v="2021-12-29T00:00:00"/>
    <x v="0"/>
    <n v="239.07"/>
    <n v="0"/>
    <m/>
    <m/>
    <x v="2"/>
    <s v="IMP"/>
    <x v="2"/>
    <s v="IMP_PAV1"/>
    <s v="IMP"/>
    <s v="Construct"/>
    <n v="6.08"/>
    <s v="m²"/>
    <n v="1.5578176423372545E-4"/>
    <m/>
    <n v="1"/>
    <n v="19"/>
    <x v="12"/>
    <n v="239.07"/>
    <m/>
    <m/>
    <n v="20"/>
    <x v="0"/>
    <n v="0"/>
    <s v="executado"/>
    <s v="executado"/>
    <n v="0"/>
    <n v="0"/>
    <n v="0"/>
    <m/>
    <m/>
    <m/>
    <m/>
    <m/>
  </r>
  <r>
    <s v="1.2.2.9"/>
    <x v="14"/>
    <x v="12"/>
    <x v="14"/>
    <x v="1"/>
    <s v="TIPO"/>
    <n v="5"/>
    <d v="2021-12-29T00:00:00"/>
    <d v="2022-01-05T00:00:00"/>
    <m/>
    <x v="0"/>
    <n v="20435.66"/>
    <n v="0"/>
    <m/>
    <m/>
    <x v="0"/>
    <s v="CERAM"/>
    <x v="2"/>
    <s v="CERAM_PAV1"/>
    <s v="CERAM"/>
    <s v="Construct"/>
    <n v="86.26"/>
    <s v="m²"/>
    <n v="1.3316196796254544E-2"/>
    <m/>
    <n v="0.6"/>
    <n v="20"/>
    <x v="13"/>
    <n v="12261.395999999999"/>
    <m/>
    <m/>
    <n v="0"/>
    <x v="0"/>
    <n v="0"/>
    <d v="2022-01-06T00:00:00"/>
    <d v="2022-01-12T00:00:00"/>
    <n v="21"/>
    <n v="22"/>
    <n v="20435.66"/>
    <m/>
    <m/>
    <m/>
    <m/>
    <m/>
  </r>
  <r>
    <s v="1.2.2.10"/>
    <x v="15"/>
    <x v="13"/>
    <x v="15"/>
    <x v="1"/>
    <s v="TIPO"/>
    <n v="5"/>
    <d v="2022-01-05T00:00:00"/>
    <d v="2022-01-12T00:00:00"/>
    <m/>
    <x v="0"/>
    <n v="6811.28"/>
    <n v="0"/>
    <m/>
    <m/>
    <x v="0"/>
    <s v="GEPINT"/>
    <x v="2"/>
    <s v="GEPINT_PAV1"/>
    <s v="GESSO"/>
    <s v="Construct"/>
    <n v="447.45"/>
    <s v="m²"/>
    <n v="4.4383369518964716E-3"/>
    <m/>
    <m/>
    <n v="21"/>
    <x v="14"/>
    <n v="0"/>
    <m/>
    <m/>
    <n v="0"/>
    <x v="0"/>
    <n v="0"/>
    <d v="2022-01-13T00:00:00"/>
    <d v="2022-01-19T00:00:00"/>
    <n v="22"/>
    <n v="23"/>
    <n v="6811.28"/>
    <m/>
    <m/>
    <m/>
    <m/>
    <m/>
  </r>
  <r>
    <s v="1.2.2.11"/>
    <x v="16"/>
    <x v="14"/>
    <x v="16"/>
    <x v="1"/>
    <s v="TIPO"/>
    <n v="5"/>
    <d v="2022-01-12T00:00:00"/>
    <d v="2022-01-19T00:00:00"/>
    <m/>
    <x v="0"/>
    <n v="26500"/>
    <n v="0"/>
    <m/>
    <m/>
    <x v="0"/>
    <s v="ESQ"/>
    <x v="2"/>
    <s v="ESQ_PAV1"/>
    <s v="ESQ"/>
    <s v="Construct"/>
    <n v="21"/>
    <s v="und"/>
    <n v="1.7267815920833748E-2"/>
    <m/>
    <m/>
    <n v="22"/>
    <x v="15"/>
    <n v="0"/>
    <m/>
    <m/>
    <n v="0"/>
    <x v="0"/>
    <n v="0"/>
    <d v="2022-01-27T00:00:00"/>
    <d v="2022-01-31T00:00:00"/>
    <n v="24"/>
    <n v="25"/>
    <n v="26500"/>
    <m/>
    <m/>
    <m/>
    <m/>
    <m/>
  </r>
  <r>
    <s v="1.2.2.12"/>
    <x v="17"/>
    <x v="15"/>
    <x v="17"/>
    <x v="1"/>
    <s v="TIPO"/>
    <n v="5"/>
    <d v="2022-01-19T00:00:00"/>
    <d v="2022-01-26T00:00:00"/>
    <m/>
    <x v="0"/>
    <n v="5134.5200000000004"/>
    <n v="0"/>
    <m/>
    <m/>
    <x v="0"/>
    <s v="GEPINT"/>
    <x v="2"/>
    <s v="GEPINT_PAV1"/>
    <s v="FIA"/>
    <s v="Construct"/>
    <n v="4"/>
    <s v="apto"/>
    <n v="3.3457338189373321E-3"/>
    <m/>
    <m/>
    <n v="23"/>
    <x v="16"/>
    <n v="0"/>
    <m/>
    <m/>
    <n v="0"/>
    <x v="0"/>
    <n v="0"/>
    <d v="2022-02-01T00:00:00"/>
    <d v="2022-02-07T00:00:00"/>
    <n v="25"/>
    <n v="26"/>
    <n v="5134.5200000000004"/>
    <m/>
    <m/>
    <m/>
    <m/>
    <m/>
  </r>
  <r>
    <s v="1.2.2.13"/>
    <x v="18"/>
    <x v="16"/>
    <x v="18"/>
    <x v="1"/>
    <s v="TIPO"/>
    <n v="5"/>
    <d v="2022-01-26T00:00:00"/>
    <d v="2022-02-02T00:00:00"/>
    <m/>
    <x v="0"/>
    <n v="2297.4899999999998"/>
    <n v="0"/>
    <m/>
    <m/>
    <x v="0"/>
    <s v="FOR"/>
    <x v="2"/>
    <s v="FOR_PAV1"/>
    <s v="FOR"/>
    <s v="Construct"/>
    <n v="29.29"/>
    <s v="m²"/>
    <n v="1.4970805433945783E-3"/>
    <m/>
    <m/>
    <n v="24"/>
    <x v="17"/>
    <n v="0"/>
    <m/>
    <m/>
    <n v="0"/>
    <x v="0"/>
    <n v="0"/>
    <d v="2022-02-08T00:00:00"/>
    <d v="2022-02-14T00:00:00"/>
    <n v="26"/>
    <n v="27"/>
    <n v="2297.4899999999998"/>
    <m/>
    <m/>
    <m/>
    <m/>
    <m/>
  </r>
  <r>
    <s v="1.2.2.17"/>
    <x v="19"/>
    <x v="17"/>
    <x v="19"/>
    <x v="1"/>
    <s v="TIPO"/>
    <n v="5"/>
    <d v="2022-02-02T00:00:00"/>
    <d v="2022-02-09T00:00:00"/>
    <m/>
    <x v="0"/>
    <n v="3617.3"/>
    <n v="0"/>
    <m/>
    <m/>
    <x v="0"/>
    <s v="REVCIRC"/>
    <x v="2"/>
    <s v="REVCIRC_PAV1"/>
    <s v="REVCIRC"/>
    <s v="Construct"/>
    <n v="22.5"/>
    <s v="m²"/>
    <n v="2.3570894539785632E-3"/>
    <m/>
    <m/>
    <n v="25"/>
    <x v="18"/>
    <n v="0"/>
    <m/>
    <m/>
    <n v="0"/>
    <x v="0"/>
    <n v="0"/>
    <d v="2022-02-15T00:00:00"/>
    <d v="2022-02-21T00:00:00"/>
    <n v="27"/>
    <n v="28"/>
    <n v="3617.3"/>
    <m/>
    <m/>
    <m/>
    <m/>
    <m/>
  </r>
  <r>
    <s v="1.2.2.14"/>
    <x v="20"/>
    <x v="18"/>
    <x v="20"/>
    <x v="1"/>
    <s v="TIPO"/>
    <n v="2"/>
    <d v="2022-02-14T00:00:00"/>
    <d v="2022-02-16T00:00:00"/>
    <m/>
    <x v="0"/>
    <n v="1400"/>
    <n v="0"/>
    <m/>
    <m/>
    <x v="0"/>
    <s v="DISJ"/>
    <x v="2"/>
    <s v="DISJ_PAV1"/>
    <s v="DISJ"/>
    <s v="Construct"/>
    <n v="4"/>
    <s v="apto"/>
    <n v="9.1226197317612252E-4"/>
    <m/>
    <m/>
    <n v="27"/>
    <x v="19"/>
    <n v="0"/>
    <m/>
    <m/>
    <n v="0"/>
    <x v="0"/>
    <n v="0"/>
    <d v="2022-02-17T00:00:00"/>
    <d v="2022-02-21T00:00:00"/>
    <n v="27"/>
    <n v="28"/>
    <n v="1400"/>
    <m/>
    <m/>
    <m/>
    <m/>
    <m/>
  </r>
  <r>
    <s v="1.2.2.16"/>
    <x v="21"/>
    <x v="19"/>
    <x v="21"/>
    <x v="1"/>
    <s v="TIPO"/>
    <n v="5"/>
    <d v="2022-02-16T00:00:00"/>
    <d v="2022-02-23T00:00:00"/>
    <m/>
    <x v="0"/>
    <n v="14799.65"/>
    <n v="0"/>
    <m/>
    <m/>
    <x v="0"/>
    <s v="GEPINT"/>
    <x v="2"/>
    <s v="GEPINT_PAV1"/>
    <s v="PINT"/>
    <s v="Construct"/>
    <n v="476.74"/>
    <s v="m²"/>
    <n v="9.6436842223685728E-3"/>
    <m/>
    <m/>
    <n v="27"/>
    <x v="20"/>
    <n v="0"/>
    <m/>
    <m/>
    <n v="0"/>
    <x v="0"/>
    <n v="0"/>
    <d v="2022-02-22T00:00:00"/>
    <d v="2022-02-28T00:00:00"/>
    <n v="28"/>
    <n v="29"/>
    <n v="14799.65"/>
    <m/>
    <m/>
    <m/>
    <m/>
    <m/>
  </r>
  <r>
    <s v="1.2.2.18"/>
    <x v="22"/>
    <x v="20"/>
    <x v="22"/>
    <x v="1"/>
    <s v="TIPO"/>
    <n v="5"/>
    <d v="2022-02-23T00:00:00"/>
    <d v="2022-03-02T00:00:00"/>
    <m/>
    <x v="0"/>
    <n v="5236.0200000000004"/>
    <n v="0"/>
    <m/>
    <m/>
    <x v="0"/>
    <s v="LOU"/>
    <x v="2"/>
    <s v="LOU_PAV1"/>
    <s v="LOU"/>
    <s v="Construct"/>
    <n v="16"/>
    <s v="und"/>
    <n v="3.411872811992601E-3"/>
    <m/>
    <m/>
    <n v="28"/>
    <x v="21"/>
    <n v="0"/>
    <m/>
    <m/>
    <n v="0"/>
    <x v="0"/>
    <n v="0"/>
    <d v="2022-03-10T00:00:00"/>
    <d v="2022-03-14T00:00:00"/>
    <n v="30"/>
    <n v="31"/>
    <n v="5236.0200000000004"/>
    <m/>
    <m/>
    <m/>
    <m/>
    <m/>
  </r>
  <r>
    <s v="1.2.2.19"/>
    <x v="23"/>
    <x v="21"/>
    <x v="23"/>
    <x v="1"/>
    <s v="TIPO"/>
    <n v="5"/>
    <d v="2022-03-02T00:00:00"/>
    <d v="2022-03-09T00:00:00"/>
    <m/>
    <x v="0"/>
    <n v="10400"/>
    <n v="0"/>
    <m/>
    <m/>
    <x v="0"/>
    <s v="PM"/>
    <x v="2"/>
    <s v="PM_PAV1"/>
    <s v="PM"/>
    <s v="Construct"/>
    <n v="20"/>
    <s v="und"/>
    <n v="6.7768032293083385E-3"/>
    <m/>
    <m/>
    <n v="29"/>
    <x v="22"/>
    <n v="0"/>
    <m/>
    <m/>
    <n v="0"/>
    <x v="0"/>
    <n v="0"/>
    <d v="2022-03-15T00:00:00"/>
    <d v="2022-03-17T00:00:00"/>
    <n v="31"/>
    <n v="31"/>
    <n v="10400"/>
    <m/>
    <m/>
    <m/>
    <m/>
    <m/>
  </r>
  <r>
    <s v="1.2.2.24"/>
    <x v="24"/>
    <x v="22"/>
    <x v="24"/>
    <x v="1"/>
    <s v="TIPO"/>
    <n v="2"/>
    <d v="2022-03-02T00:00:00"/>
    <d v="2022-03-04T00:00:00"/>
    <m/>
    <x v="0"/>
    <n v="2054.02"/>
    <n v="0"/>
    <m/>
    <m/>
    <x v="0"/>
    <s v="EF"/>
    <x v="2"/>
    <s v="EF_PAV1"/>
    <s v="EF"/>
    <s v="Construct"/>
    <n v="4.17"/>
    <s v="m"/>
    <n v="1.3384316701022993E-3"/>
    <m/>
    <m/>
    <n v="29"/>
    <x v="21"/>
    <n v="0"/>
    <m/>
    <m/>
    <n v="0"/>
    <x v="0"/>
    <n v="0"/>
    <d v="2022-03-10T00:00:00"/>
    <d v="2022-03-14T00:00:00"/>
    <n v="30"/>
    <n v="31"/>
    <n v="2054.02"/>
    <m/>
    <m/>
    <m/>
    <m/>
    <m/>
  </r>
  <r>
    <s v="1.2.2.15"/>
    <x v="25"/>
    <x v="23"/>
    <x v="25"/>
    <x v="1"/>
    <s v="TIPO"/>
    <n v="5"/>
    <d v="2022-03-09T00:00:00"/>
    <d v="2022-03-16T00:00:00"/>
    <m/>
    <x v="0"/>
    <n v="13171.26"/>
    <n v="0"/>
    <m/>
    <m/>
    <x v="0"/>
    <s v="LAM"/>
    <x v="2"/>
    <s v="LAM_PAV1"/>
    <s v="LAM"/>
    <s v="Construct"/>
    <n v="80.88"/>
    <s v="m²"/>
    <n v="8.5825997405826679E-3"/>
    <m/>
    <m/>
    <n v="30"/>
    <x v="23"/>
    <n v="0"/>
    <m/>
    <m/>
    <n v="0"/>
    <x v="0"/>
    <n v="0"/>
    <d v="2022-03-22T00:00:00"/>
    <d v="2022-03-28T00:00:00"/>
    <n v="32"/>
    <n v="33"/>
    <n v="13171.26"/>
    <m/>
    <m/>
    <m/>
    <m/>
    <m/>
  </r>
  <r>
    <s v="1.2.2.20"/>
    <x v="26"/>
    <x v="24"/>
    <x v="26"/>
    <x v="1"/>
    <s v="TIPO"/>
    <n v="2"/>
    <d v="2022-03-28T00:00:00"/>
    <d v="2022-03-30T00:00:00"/>
    <m/>
    <x v="0"/>
    <n v="1340.04"/>
    <n v="0"/>
    <m/>
    <m/>
    <x v="0"/>
    <s v="METAIS"/>
    <x v="2"/>
    <s v="METAIS_PAV1"/>
    <s v="METAIS"/>
    <s v="Construct"/>
    <n v="12"/>
    <s v="und"/>
    <n v="8.7319109609637949E-4"/>
    <m/>
    <m/>
    <n v="33"/>
    <x v="24"/>
    <n v="0"/>
    <m/>
    <m/>
    <n v="0"/>
    <x v="0"/>
    <n v="0"/>
    <d v="2022-03-17T00:00:00"/>
    <d v="2022-03-21T00:00:00"/>
    <n v="31"/>
    <n v="32"/>
    <n v="1340.04"/>
    <m/>
    <m/>
    <m/>
    <m/>
    <m/>
  </r>
  <r>
    <s v="1.2.2.21"/>
    <x v="27"/>
    <x v="25"/>
    <x v="27"/>
    <x v="1"/>
    <s v="TIPO"/>
    <n v="2"/>
    <d v="2022-03-28T00:00:00"/>
    <d v="2022-03-30T00:00:00"/>
    <m/>
    <x v="0"/>
    <n v="0"/>
    <n v="0"/>
    <m/>
    <m/>
    <x v="0"/>
    <s v="GEPINT"/>
    <x v="2"/>
    <s v="GEPINT_PAV1"/>
    <s v="ACAB"/>
    <s v="Construct"/>
    <n v="4"/>
    <s v="apto"/>
    <n v="0"/>
    <m/>
    <m/>
    <n v="33"/>
    <x v="24"/>
    <n v="0"/>
    <m/>
    <m/>
    <n v="0"/>
    <x v="0"/>
    <n v="0"/>
    <d v="2022-03-17T00:00:00"/>
    <d v="2022-03-21T00:00:00"/>
    <n v="31"/>
    <n v="32"/>
    <n v="0"/>
    <m/>
    <m/>
    <m/>
    <m/>
    <m/>
  </r>
  <r>
    <s v="1.2.2.22"/>
    <x v="28"/>
    <x v="26"/>
    <x v="28"/>
    <x v="1"/>
    <s v="TIPO"/>
    <n v="5"/>
    <d v="2022-03-30T00:00:00"/>
    <d v="2022-04-06T00:00:00"/>
    <m/>
    <x v="0"/>
    <n v="3687.38"/>
    <n v="0"/>
    <m/>
    <m/>
    <x v="0"/>
    <s v="GEPINT"/>
    <x v="2"/>
    <s v="GEPINT_PAV1"/>
    <s v="PINTF"/>
    <s v="Construct"/>
    <n v="614.55999999999995"/>
    <s v="m²"/>
    <n v="2.4027546818929791E-3"/>
    <m/>
    <m/>
    <n v="33"/>
    <x v="25"/>
    <n v="0"/>
    <m/>
    <m/>
    <n v="0"/>
    <x v="0"/>
    <n v="0"/>
    <d v="2022-03-29T00:00:00"/>
    <d v="2022-04-04T00:00:00"/>
    <n v="33"/>
    <n v="34"/>
    <n v="3687.38"/>
    <m/>
    <m/>
    <m/>
    <m/>
    <m/>
  </r>
  <r>
    <s v="1.2.2.23"/>
    <x v="29"/>
    <x v="27"/>
    <x v="29"/>
    <x v="1"/>
    <s v="TIPO"/>
    <n v="2"/>
    <d v="2022-04-18T00:00:00"/>
    <d v="2022-04-20T00:00:00"/>
    <m/>
    <x v="0"/>
    <n v="500"/>
    <n v="0"/>
    <m/>
    <m/>
    <x v="0"/>
    <s v="GEPINT"/>
    <x v="2"/>
    <s v="GEPINT_PAV1"/>
    <s v="COMPL"/>
    <s v="Construct"/>
    <n v="0.25"/>
    <s v="torre"/>
    <n v="3.2580784756290089E-4"/>
    <m/>
    <m/>
    <n v="36"/>
    <x v="6"/>
    <n v="0"/>
    <m/>
    <m/>
    <n v="0"/>
    <x v="0"/>
    <n v="0"/>
    <d v="2022-04-05T00:00:00"/>
    <d v="2022-04-07T00:00:00"/>
    <n v="34"/>
    <n v="34"/>
    <n v="500"/>
    <m/>
    <m/>
    <m/>
    <m/>
    <m/>
  </r>
  <r>
    <s v="1.3"/>
    <x v="30"/>
    <x v="0"/>
    <x v="30"/>
    <x v="0"/>
    <m/>
    <n v="140"/>
    <d v="2021-10-11T00:00:00"/>
    <d v="2022-04-22T00:00:00"/>
    <m/>
    <x v="0"/>
    <m/>
    <n v="0"/>
    <m/>
    <m/>
    <x v="0"/>
    <m/>
    <x v="0"/>
    <s v="_"/>
    <n v="0"/>
    <n v="0"/>
    <m/>
    <m/>
    <n v="0"/>
    <m/>
    <m/>
    <n v="9"/>
    <x v="6"/>
    <n v="0"/>
    <m/>
    <m/>
    <n v="0"/>
    <x v="0"/>
    <n v="0"/>
    <d v="2021-10-11T00:00:00"/>
    <d v="2022-04-14T00:00:00"/>
    <n v="9"/>
    <n v="35"/>
    <n v="0"/>
    <m/>
    <m/>
    <m/>
    <m/>
    <m/>
  </r>
  <r>
    <s v="1.3.2.3"/>
    <x v="8"/>
    <x v="6"/>
    <x v="31"/>
    <x v="1"/>
    <s v="TIPO"/>
    <n v="5"/>
    <d v="2021-10-11T00:00:00"/>
    <d v="2021-10-15T00:00:00"/>
    <d v="2021-10-18T00:00:00"/>
    <x v="11"/>
    <n v="96851.74"/>
    <n v="0"/>
    <m/>
    <m/>
    <x v="1"/>
    <s v="ALV"/>
    <x v="3"/>
    <s v="ALV_PAV2"/>
    <s v="ALV"/>
    <s v="Construct"/>
    <n v="390.7"/>
    <s v="m²"/>
    <n v="6.3110113884243424E-2"/>
    <m/>
    <n v="1"/>
    <n v="9"/>
    <x v="26"/>
    <n v="96851.74"/>
    <n v="5"/>
    <m/>
    <n v="10"/>
    <x v="10"/>
    <n v="96851.74"/>
    <s v="executado"/>
    <s v="executado"/>
    <n v="0"/>
    <n v="0"/>
    <n v="0"/>
    <m/>
    <m/>
    <m/>
    <m/>
    <m/>
  </r>
  <r>
    <s v="1.3.2.4"/>
    <x v="9"/>
    <x v="7"/>
    <x v="32"/>
    <x v="1"/>
    <s v="TIPO"/>
    <n v="5"/>
    <d v="2021-10-18T00:00:00"/>
    <d v="2021-10-22T00:00:00"/>
    <d v="2021-10-25T00:00:00"/>
    <x v="12"/>
    <n v="64892.03"/>
    <n v="0"/>
    <m/>
    <m/>
    <x v="1"/>
    <s v="ESTINLOCO"/>
    <x v="3"/>
    <s v="ESTINLOCO_PAV2"/>
    <s v="ESTINLOCO"/>
    <s v="Construct"/>
    <n v="25.44"/>
    <s v="m³"/>
    <n v="4.2284665236574384E-2"/>
    <m/>
    <n v="1"/>
    <n v="10"/>
    <x v="27"/>
    <n v="64892.03"/>
    <n v="5"/>
    <m/>
    <n v="11"/>
    <x v="11"/>
    <n v="64892.03"/>
    <s v="executado"/>
    <s v="executado"/>
    <n v="0"/>
    <n v="0"/>
    <n v="0"/>
    <m/>
    <m/>
    <m/>
    <m/>
    <m/>
  </r>
  <r>
    <s v="1.3.2.5"/>
    <x v="10"/>
    <x v="8"/>
    <x v="33"/>
    <x v="1"/>
    <s v="TIPO"/>
    <n v="5"/>
    <d v="2021-11-08T00:00:00"/>
    <d v="2021-11-12T00:00:00"/>
    <d v="2021-11-29T00:00:00"/>
    <x v="13"/>
    <n v="13455.89"/>
    <n v="0"/>
    <m/>
    <m/>
    <x v="1"/>
    <s v="HIDRO"/>
    <x v="3"/>
    <s v="HIDRO_PAV2"/>
    <s v="HIDRO"/>
    <s v="Construct"/>
    <n v="1"/>
    <s v="pvto"/>
    <n v="8.7680691158863247E-3"/>
    <m/>
    <n v="1"/>
    <n v="13"/>
    <x v="28"/>
    <n v="13455.89"/>
    <n v="6"/>
    <m/>
    <n v="16"/>
    <x v="12"/>
    <n v="13455.89"/>
    <s v="executado"/>
    <s v="executado"/>
    <n v="0"/>
    <n v="0"/>
    <n v="0"/>
    <m/>
    <m/>
    <m/>
    <m/>
    <m/>
  </r>
  <r>
    <s v="1.3.2.6"/>
    <x v="11"/>
    <x v="9"/>
    <x v="34"/>
    <x v="1"/>
    <s v="TIPO"/>
    <n v="5"/>
    <d v="2021-11-22T00:00:00"/>
    <d v="2021-11-26T00:00:00"/>
    <d v="2021-11-22T00:00:00"/>
    <x v="14"/>
    <n v="984.14"/>
    <n v="0"/>
    <m/>
    <m/>
    <x v="1"/>
    <s v="REBINT"/>
    <x v="3"/>
    <s v="REBINT_PAV2"/>
    <s v="REBINT"/>
    <s v="Construct"/>
    <n v="140.59"/>
    <s v="m²"/>
    <n v="6.4128107020110659E-4"/>
    <m/>
    <n v="1"/>
    <n v="15"/>
    <x v="29"/>
    <n v="984.14"/>
    <n v="5"/>
    <m/>
    <n v="15"/>
    <x v="13"/>
    <n v="984.14"/>
    <s v="executado"/>
    <s v="executado"/>
    <n v="0"/>
    <n v="0"/>
    <n v="0"/>
    <m/>
    <m/>
    <m/>
    <m/>
    <m/>
  </r>
  <r>
    <s v="1.3.2.7"/>
    <x v="12"/>
    <x v="10"/>
    <x v="35"/>
    <x v="1"/>
    <s v="TIPO"/>
    <n v="2"/>
    <d v="2021-12-22T00:00:00"/>
    <d v="2021-12-24T00:00:00"/>
    <d v="2021-12-22T00:00:00"/>
    <x v="15"/>
    <n v="3159.37"/>
    <n v="0"/>
    <m/>
    <m/>
    <x v="1"/>
    <s v="SHAFT"/>
    <x v="3"/>
    <s v="SHAFT_PAV2"/>
    <s v="SHAFT"/>
    <s v="Construct"/>
    <n v="10.69"/>
    <s v="m²"/>
    <n v="2.0586950787096045E-3"/>
    <m/>
    <n v="1"/>
    <n v="19"/>
    <x v="11"/>
    <n v="3159.37"/>
    <n v="3"/>
    <m/>
    <n v="19"/>
    <x v="9"/>
    <n v="3159.37"/>
    <s v="executado"/>
    <s v="executado"/>
    <n v="0"/>
    <n v="0"/>
    <n v="0"/>
    <m/>
    <m/>
    <m/>
    <m/>
    <m/>
  </r>
  <r>
    <s v="1.3.2.8"/>
    <x v="13"/>
    <x v="11"/>
    <x v="36"/>
    <x v="1"/>
    <s v="TIPO"/>
    <n v="5"/>
    <d v="2021-12-29T00:00:00"/>
    <d v="2022-01-05T00:00:00"/>
    <m/>
    <x v="0"/>
    <n v="239.07"/>
    <n v="0"/>
    <m/>
    <m/>
    <x v="0"/>
    <s v="IMP"/>
    <x v="3"/>
    <s v="IMP_PAV2"/>
    <s v="IMP"/>
    <s v="Construct"/>
    <n v="6.08"/>
    <s v="m²"/>
    <n v="1.5578176423372545E-4"/>
    <m/>
    <n v="0.6"/>
    <n v="20"/>
    <x v="13"/>
    <n v="143.44199999999998"/>
    <m/>
    <m/>
    <n v="0"/>
    <x v="0"/>
    <n v="0"/>
    <d v="2022-01-06T00:00:00"/>
    <d v="2022-01-12T00:00:00"/>
    <n v="21"/>
    <n v="22"/>
    <n v="239.07"/>
    <m/>
    <m/>
    <m/>
    <m/>
    <m/>
  </r>
  <r>
    <s v="1.3.2.9"/>
    <x v="14"/>
    <x v="12"/>
    <x v="37"/>
    <x v="1"/>
    <s v="TIPO"/>
    <n v="5"/>
    <d v="2022-01-05T00:00:00"/>
    <d v="2022-01-12T00:00:00"/>
    <m/>
    <x v="0"/>
    <n v="20435.66"/>
    <n v="0"/>
    <m/>
    <m/>
    <x v="0"/>
    <s v="CERAM"/>
    <x v="3"/>
    <s v="CERAM_PAV2"/>
    <s v="CERAM"/>
    <s v="Construct"/>
    <n v="86.26"/>
    <s v="m²"/>
    <n v="1.3316196796254544E-2"/>
    <m/>
    <m/>
    <n v="21"/>
    <x v="14"/>
    <n v="0"/>
    <m/>
    <m/>
    <n v="0"/>
    <x v="0"/>
    <n v="0"/>
    <d v="2022-01-13T00:00:00"/>
    <d v="2022-01-19T00:00:00"/>
    <n v="22"/>
    <n v="23"/>
    <n v="20435.66"/>
    <m/>
    <m/>
    <m/>
    <m/>
    <m/>
  </r>
  <r>
    <s v="1.3.2.10"/>
    <x v="15"/>
    <x v="13"/>
    <x v="38"/>
    <x v="1"/>
    <s v="TIPO"/>
    <n v="5"/>
    <d v="2022-01-12T00:00:00"/>
    <d v="2022-01-19T00:00:00"/>
    <m/>
    <x v="0"/>
    <n v="6811.28"/>
    <n v="0"/>
    <m/>
    <m/>
    <x v="0"/>
    <s v="GEPINT"/>
    <x v="3"/>
    <s v="GEPINT_PAV2"/>
    <s v="GESSO"/>
    <s v="Construct"/>
    <n v="447.45"/>
    <s v="m²"/>
    <n v="4.4383369518964716E-3"/>
    <m/>
    <m/>
    <n v="22"/>
    <x v="15"/>
    <n v="0"/>
    <m/>
    <m/>
    <n v="0"/>
    <x v="0"/>
    <n v="0"/>
    <d v="2022-01-20T00:00:00"/>
    <d v="2022-01-26T00:00:00"/>
    <n v="23"/>
    <n v="24"/>
    <n v="6811.28"/>
    <m/>
    <m/>
    <m/>
    <m/>
    <m/>
  </r>
  <r>
    <s v="1.3.2.11"/>
    <x v="16"/>
    <x v="14"/>
    <x v="39"/>
    <x v="1"/>
    <s v="TIPO"/>
    <n v="5"/>
    <d v="2022-01-19T00:00:00"/>
    <d v="2022-01-26T00:00:00"/>
    <m/>
    <x v="0"/>
    <n v="26500"/>
    <n v="0"/>
    <m/>
    <m/>
    <x v="0"/>
    <s v="ESQ"/>
    <x v="3"/>
    <s v="ESQ_PAV2"/>
    <s v="ESQ"/>
    <s v="Construct"/>
    <n v="21"/>
    <s v="und"/>
    <n v="1.7267815920833748E-2"/>
    <m/>
    <m/>
    <n v="23"/>
    <x v="16"/>
    <n v="0"/>
    <m/>
    <m/>
    <n v="0"/>
    <x v="0"/>
    <n v="0"/>
    <d v="2022-02-01T00:00:00"/>
    <d v="2022-02-03T00:00:00"/>
    <n v="25"/>
    <n v="25"/>
    <n v="26500"/>
    <m/>
    <m/>
    <m/>
    <m/>
    <m/>
  </r>
  <r>
    <s v="1.3.2.12"/>
    <x v="17"/>
    <x v="15"/>
    <x v="40"/>
    <x v="1"/>
    <s v="TIPO"/>
    <n v="5"/>
    <d v="2022-01-26T00:00:00"/>
    <d v="2022-02-02T00:00:00"/>
    <m/>
    <x v="0"/>
    <n v="5134.5200000000004"/>
    <n v="0"/>
    <m/>
    <m/>
    <x v="0"/>
    <s v="GEPINT"/>
    <x v="3"/>
    <s v="GEPINT_PAV2"/>
    <s v="FIA"/>
    <s v="Construct"/>
    <n v="4"/>
    <s v="apto"/>
    <n v="3.3457338189373321E-3"/>
    <m/>
    <m/>
    <n v="24"/>
    <x v="17"/>
    <n v="0"/>
    <m/>
    <m/>
    <n v="0"/>
    <x v="0"/>
    <n v="0"/>
    <d v="2022-02-08T00:00:00"/>
    <d v="2022-02-14T00:00:00"/>
    <n v="26"/>
    <n v="27"/>
    <n v="5134.5200000000004"/>
    <m/>
    <m/>
    <m/>
    <m/>
    <m/>
  </r>
  <r>
    <s v="1.3.2.13"/>
    <x v="18"/>
    <x v="16"/>
    <x v="41"/>
    <x v="1"/>
    <s v="TIPO"/>
    <n v="5"/>
    <d v="2022-02-02T00:00:00"/>
    <d v="2022-02-09T00:00:00"/>
    <m/>
    <x v="0"/>
    <n v="2297.4899999999998"/>
    <n v="0"/>
    <m/>
    <m/>
    <x v="0"/>
    <s v="FOR"/>
    <x v="3"/>
    <s v="FOR_PAV2"/>
    <s v="FOR"/>
    <s v="Construct"/>
    <n v="29.29"/>
    <s v="m²"/>
    <n v="1.4970805433945783E-3"/>
    <m/>
    <m/>
    <n v="25"/>
    <x v="18"/>
    <n v="0"/>
    <m/>
    <m/>
    <n v="0"/>
    <x v="0"/>
    <n v="0"/>
    <d v="2022-02-15T00:00:00"/>
    <d v="2022-02-21T00:00:00"/>
    <n v="27"/>
    <n v="28"/>
    <n v="2297.4899999999998"/>
    <m/>
    <m/>
    <m/>
    <m/>
    <m/>
  </r>
  <r>
    <s v="1.3.2.17"/>
    <x v="19"/>
    <x v="17"/>
    <x v="42"/>
    <x v="1"/>
    <s v="TIPO"/>
    <n v="5"/>
    <d v="2022-02-09T00:00:00"/>
    <d v="2022-02-16T00:00:00"/>
    <m/>
    <x v="0"/>
    <n v="3617.43"/>
    <n v="0"/>
    <m/>
    <m/>
    <x v="0"/>
    <s v="REVCIRC"/>
    <x v="3"/>
    <s v="REVCIRC_PAV2"/>
    <s v="REVCIRC"/>
    <s v="Construct"/>
    <n v="22.5"/>
    <s v="m²"/>
    <n v="2.3571741640189292E-3"/>
    <m/>
    <m/>
    <n v="26"/>
    <x v="19"/>
    <n v="0"/>
    <m/>
    <m/>
    <n v="0"/>
    <x v="0"/>
    <n v="0"/>
    <d v="2022-02-22T00:00:00"/>
    <d v="2022-02-28T00:00:00"/>
    <n v="28"/>
    <n v="29"/>
    <n v="3617.43"/>
    <m/>
    <m/>
    <m/>
    <m/>
    <m/>
  </r>
  <r>
    <s v="1.3.2.14"/>
    <x v="20"/>
    <x v="18"/>
    <x v="43"/>
    <x v="1"/>
    <s v="TIPO"/>
    <n v="2"/>
    <d v="2022-02-16T00:00:00"/>
    <d v="2022-02-18T00:00:00"/>
    <m/>
    <x v="0"/>
    <n v="1400"/>
    <n v="0"/>
    <m/>
    <m/>
    <x v="0"/>
    <s v="DISJ"/>
    <x v="3"/>
    <s v="DISJ_PAV2"/>
    <s v="DISJ"/>
    <s v="Construct"/>
    <n v="4"/>
    <s v="apto"/>
    <n v="9.1226197317612252E-4"/>
    <m/>
    <m/>
    <n v="27"/>
    <x v="19"/>
    <n v="0"/>
    <m/>
    <m/>
    <n v="0"/>
    <x v="0"/>
    <n v="0"/>
    <d v="2022-02-22T00:00:00"/>
    <d v="2022-02-24T00:00:00"/>
    <n v="28"/>
    <n v="28"/>
    <n v="1400"/>
    <m/>
    <m/>
    <m/>
    <m/>
    <m/>
  </r>
  <r>
    <s v="1.3.2.16"/>
    <x v="21"/>
    <x v="19"/>
    <x v="44"/>
    <x v="1"/>
    <s v="TIPO"/>
    <n v="5"/>
    <d v="2022-02-23T00:00:00"/>
    <d v="2022-03-02T00:00:00"/>
    <m/>
    <x v="0"/>
    <n v="14799.65"/>
    <n v="0"/>
    <m/>
    <m/>
    <x v="0"/>
    <s v="GEPINT"/>
    <x v="3"/>
    <s v="GEPINT_PAV2"/>
    <s v="PINT"/>
    <s v="Construct"/>
    <n v="476.74"/>
    <s v="m²"/>
    <n v="9.6436842223685728E-3"/>
    <m/>
    <m/>
    <n v="28"/>
    <x v="21"/>
    <n v="0"/>
    <m/>
    <m/>
    <n v="0"/>
    <x v="0"/>
    <n v="0"/>
    <d v="2022-03-01T00:00:00"/>
    <d v="2022-03-07T00:00:00"/>
    <n v="29"/>
    <n v="30"/>
    <n v="14799.65"/>
    <m/>
    <m/>
    <m/>
    <m/>
    <m/>
  </r>
  <r>
    <s v="1.3.2.18"/>
    <x v="22"/>
    <x v="20"/>
    <x v="45"/>
    <x v="1"/>
    <s v="TIPO"/>
    <n v="5"/>
    <d v="2022-03-02T00:00:00"/>
    <d v="2022-03-09T00:00:00"/>
    <m/>
    <x v="0"/>
    <n v="5236.0200000000004"/>
    <n v="0"/>
    <m/>
    <m/>
    <x v="0"/>
    <s v="LOU"/>
    <x v="3"/>
    <s v="LOU_PAV2"/>
    <s v="LOU"/>
    <s v="Construct"/>
    <n v="16"/>
    <s v="und"/>
    <n v="3.411872811992601E-3"/>
    <m/>
    <m/>
    <n v="29"/>
    <x v="22"/>
    <n v="0"/>
    <m/>
    <m/>
    <n v="0"/>
    <x v="0"/>
    <n v="0"/>
    <d v="2022-03-15T00:00:00"/>
    <d v="2022-03-17T00:00:00"/>
    <n v="31"/>
    <n v="31"/>
    <n v="5236.0200000000004"/>
    <m/>
    <m/>
    <m/>
    <m/>
    <m/>
  </r>
  <r>
    <s v="1.3.2.24"/>
    <x v="24"/>
    <x v="22"/>
    <x v="46"/>
    <x v="1"/>
    <s v="TIPO"/>
    <n v="2"/>
    <d v="2022-03-02T00:00:00"/>
    <d v="2022-03-04T00:00:00"/>
    <m/>
    <x v="0"/>
    <n v="2054.02"/>
    <n v="0"/>
    <m/>
    <m/>
    <x v="0"/>
    <s v="EF"/>
    <x v="3"/>
    <s v="EF_PAV2"/>
    <s v="EF"/>
    <s v="Construct"/>
    <n v="4.17"/>
    <s v="und"/>
    <n v="1.3384316701022993E-3"/>
    <m/>
    <m/>
    <n v="29"/>
    <x v="21"/>
    <n v="0"/>
    <m/>
    <m/>
    <n v="0"/>
    <x v="0"/>
    <n v="0"/>
    <d v="2022-03-10T00:00:00"/>
    <d v="2022-03-14T00:00:00"/>
    <n v="30"/>
    <n v="31"/>
    <n v="2054.02"/>
    <m/>
    <m/>
    <m/>
    <m/>
    <m/>
  </r>
  <r>
    <s v="1.3.2.19"/>
    <x v="23"/>
    <x v="21"/>
    <x v="47"/>
    <x v="1"/>
    <s v="TIPO"/>
    <n v="5"/>
    <d v="2022-03-09T00:00:00"/>
    <d v="2022-03-16T00:00:00"/>
    <m/>
    <x v="0"/>
    <n v="10400"/>
    <n v="0"/>
    <m/>
    <m/>
    <x v="0"/>
    <s v="PM"/>
    <x v="3"/>
    <s v="PM_PAV2"/>
    <s v="PM"/>
    <s v="Construct"/>
    <n v="20"/>
    <s v="m"/>
    <n v="6.7768032293083385E-3"/>
    <m/>
    <m/>
    <n v="30"/>
    <x v="23"/>
    <n v="0"/>
    <m/>
    <m/>
    <n v="0"/>
    <x v="0"/>
    <n v="0"/>
    <d v="2022-03-17T00:00:00"/>
    <d v="2022-03-21T00:00:00"/>
    <n v="31"/>
    <n v="32"/>
    <n v="10400"/>
    <m/>
    <m/>
    <m/>
    <m/>
    <m/>
  </r>
  <r>
    <s v="1.3.2.15"/>
    <x v="25"/>
    <x v="23"/>
    <x v="48"/>
    <x v="1"/>
    <s v="TIPO"/>
    <n v="5"/>
    <d v="2022-03-16T00:00:00"/>
    <d v="2022-03-23T00:00:00"/>
    <m/>
    <x v="0"/>
    <n v="13171.26"/>
    <n v="0"/>
    <m/>
    <m/>
    <x v="0"/>
    <s v="LAM"/>
    <x v="3"/>
    <s v="LAM_PAV2"/>
    <s v="LAM"/>
    <s v="Construct"/>
    <n v="80.88"/>
    <s v="m²"/>
    <n v="8.5825997405826679E-3"/>
    <m/>
    <m/>
    <n v="31"/>
    <x v="30"/>
    <n v="0"/>
    <m/>
    <m/>
    <n v="0"/>
    <x v="0"/>
    <n v="0"/>
    <d v="2022-03-29T00:00:00"/>
    <d v="2022-04-04T00:00:00"/>
    <n v="33"/>
    <n v="34"/>
    <n v="13171.26"/>
    <m/>
    <m/>
    <m/>
    <m/>
    <m/>
  </r>
  <r>
    <s v="1.3.2.20"/>
    <x v="26"/>
    <x v="24"/>
    <x v="49"/>
    <x v="1"/>
    <s v="TIPO"/>
    <n v="2"/>
    <d v="2022-03-30T00:00:00"/>
    <d v="2022-04-01T00:00:00"/>
    <m/>
    <x v="0"/>
    <n v="1340.04"/>
    <n v="0"/>
    <m/>
    <m/>
    <x v="0"/>
    <s v="METAIS"/>
    <x v="3"/>
    <s v="METAIS_PAV2"/>
    <s v="METAIS"/>
    <s v="Construct"/>
    <n v="12"/>
    <s v="und"/>
    <n v="8.7319109609637949E-4"/>
    <m/>
    <m/>
    <n v="33"/>
    <x v="24"/>
    <n v="0"/>
    <m/>
    <m/>
    <n v="0"/>
    <x v="0"/>
    <n v="0"/>
    <d v="2022-03-22T00:00:00"/>
    <d v="2022-03-24T00:00:00"/>
    <n v="32"/>
    <n v="32"/>
    <n v="1340.04"/>
    <m/>
    <m/>
    <m/>
    <m/>
    <m/>
  </r>
  <r>
    <s v="1.3.2.21"/>
    <x v="27"/>
    <x v="25"/>
    <x v="50"/>
    <x v="1"/>
    <s v="TIPO"/>
    <n v="2"/>
    <d v="2022-03-30T00:00:00"/>
    <d v="2022-04-01T00:00:00"/>
    <m/>
    <x v="0"/>
    <n v="0"/>
    <n v="0"/>
    <m/>
    <m/>
    <x v="0"/>
    <s v="GEPINT"/>
    <x v="3"/>
    <s v="GEPINT_PAV2"/>
    <s v="ACAB"/>
    <s v="Construct"/>
    <n v="4"/>
    <s v="apto"/>
    <n v="0"/>
    <m/>
    <m/>
    <n v="33"/>
    <x v="24"/>
    <n v="0"/>
    <m/>
    <m/>
    <n v="0"/>
    <x v="0"/>
    <n v="0"/>
    <d v="2022-03-22T00:00:00"/>
    <d v="2022-03-24T00:00:00"/>
    <n v="32"/>
    <n v="32"/>
    <n v="0"/>
    <m/>
    <m/>
    <m/>
    <m/>
    <m/>
  </r>
  <r>
    <s v="1.3.2.22"/>
    <x v="28"/>
    <x v="26"/>
    <x v="51"/>
    <x v="1"/>
    <s v="TIPO"/>
    <n v="5"/>
    <d v="2022-04-06T00:00:00"/>
    <d v="2022-04-13T00:00:00"/>
    <m/>
    <x v="0"/>
    <n v="3687.38"/>
    <n v="0"/>
    <m/>
    <m/>
    <x v="0"/>
    <s v="GEPINT"/>
    <x v="3"/>
    <s v="GEPINT_PAV2"/>
    <s v="PINTF"/>
    <s v="Construct"/>
    <n v="614.55999999999995"/>
    <s v="m²"/>
    <n v="2.4027546818929791E-3"/>
    <m/>
    <m/>
    <n v="34"/>
    <x v="31"/>
    <n v="0"/>
    <m/>
    <m/>
    <n v="0"/>
    <x v="0"/>
    <n v="0"/>
    <d v="2022-04-05T00:00:00"/>
    <d v="2022-04-11T00:00:00"/>
    <n v="34"/>
    <n v="35"/>
    <n v="3687.38"/>
    <m/>
    <m/>
    <m/>
    <m/>
    <m/>
  </r>
  <r>
    <s v="1.3.2.23"/>
    <x v="29"/>
    <x v="27"/>
    <x v="52"/>
    <x v="1"/>
    <s v="TIPO"/>
    <n v="2"/>
    <d v="2022-04-20T00:00:00"/>
    <d v="2022-04-22T00:00:00"/>
    <m/>
    <x v="0"/>
    <n v="500"/>
    <n v="0"/>
    <m/>
    <m/>
    <x v="0"/>
    <s v="GEPINT"/>
    <x v="3"/>
    <s v="GEPINT_PAV2"/>
    <s v="COMPL"/>
    <s v="Construct"/>
    <n v="0.25"/>
    <s v="torre"/>
    <n v="3.2580784756290089E-4"/>
    <m/>
    <m/>
    <n v="36"/>
    <x v="6"/>
    <n v="0"/>
    <m/>
    <m/>
    <n v="0"/>
    <x v="0"/>
    <n v="0"/>
    <d v="2022-04-12T00:00:00"/>
    <d v="2022-04-14T00:00:00"/>
    <n v="35"/>
    <n v="35"/>
    <n v="500"/>
    <m/>
    <m/>
    <m/>
    <m/>
    <m/>
  </r>
  <r>
    <s v="1.4"/>
    <x v="31"/>
    <x v="0"/>
    <x v="53"/>
    <x v="0"/>
    <m/>
    <n v="132"/>
    <d v="2021-10-25T00:00:00"/>
    <d v="2022-04-27T00:00:00"/>
    <m/>
    <x v="0"/>
    <m/>
    <n v="0"/>
    <m/>
    <m/>
    <x v="0"/>
    <m/>
    <x v="0"/>
    <s v="_"/>
    <n v="0"/>
    <n v="0"/>
    <m/>
    <m/>
    <n v="0"/>
    <m/>
    <m/>
    <n v="11"/>
    <x v="0"/>
    <n v="0"/>
    <m/>
    <m/>
    <n v="0"/>
    <x v="0"/>
    <n v="0"/>
    <d v="2021-10-25T00:00:00"/>
    <d v="2022-04-21T00:00:00"/>
    <n v="11"/>
    <n v="36"/>
    <n v="0"/>
    <m/>
    <m/>
    <m/>
    <m/>
    <m/>
  </r>
  <r>
    <s v="1.4.2.3"/>
    <x v="8"/>
    <x v="6"/>
    <x v="54"/>
    <x v="1"/>
    <s v="TIPO"/>
    <n v="5"/>
    <d v="2021-10-25T00:00:00"/>
    <d v="2021-10-29T00:00:00"/>
    <d v="2021-11-01T00:00:00"/>
    <x v="16"/>
    <n v="96851.74"/>
    <n v="0"/>
    <m/>
    <m/>
    <x v="1"/>
    <s v="ALV"/>
    <x v="4"/>
    <s v="ALV_PAV3"/>
    <s v="ALV"/>
    <s v="Construct"/>
    <n v="390.7"/>
    <s v="m²"/>
    <n v="6.3110113884243424E-2"/>
    <m/>
    <n v="1"/>
    <n v="11"/>
    <x v="32"/>
    <n v="96851.74"/>
    <n v="5"/>
    <m/>
    <n v="12"/>
    <x v="14"/>
    <n v="96851.74"/>
    <s v="executado"/>
    <s v="executado"/>
    <n v="0"/>
    <n v="0"/>
    <n v="0"/>
    <m/>
    <m/>
    <m/>
    <m/>
    <m/>
  </r>
  <r>
    <s v="1.4.2.4"/>
    <x v="9"/>
    <x v="7"/>
    <x v="55"/>
    <x v="1"/>
    <s v="TIPO"/>
    <n v="5"/>
    <d v="2021-11-01T00:00:00"/>
    <d v="2021-11-05T00:00:00"/>
    <d v="2021-11-08T00:00:00"/>
    <x v="17"/>
    <n v="64892.03"/>
    <n v="0"/>
    <m/>
    <m/>
    <x v="1"/>
    <s v="ESTINLOCO"/>
    <x v="4"/>
    <s v="ESTINLOCO_PAV3"/>
    <s v="ESTINLOCO"/>
    <s v="Construct"/>
    <n v="25.44"/>
    <s v="m³"/>
    <n v="4.2284665236574384E-2"/>
    <m/>
    <n v="1"/>
    <n v="12"/>
    <x v="9"/>
    <n v="64892.03"/>
    <n v="5"/>
    <m/>
    <n v="13"/>
    <x v="15"/>
    <n v="64892.03"/>
    <s v="executado"/>
    <s v="executado"/>
    <n v="0"/>
    <n v="0"/>
    <n v="0"/>
    <m/>
    <m/>
    <m/>
    <m/>
    <m/>
  </r>
  <r>
    <s v="1.4.2.5"/>
    <x v="10"/>
    <x v="8"/>
    <x v="56"/>
    <x v="1"/>
    <s v="TIPO"/>
    <n v="5"/>
    <d v="2021-11-15T00:00:00"/>
    <d v="2021-11-19T00:00:00"/>
    <d v="2021-11-22T00:00:00"/>
    <x v="14"/>
    <n v="13455.89"/>
    <n v="0"/>
    <m/>
    <m/>
    <x v="1"/>
    <s v="HIDRO"/>
    <x v="4"/>
    <s v="HIDRO_PAV3"/>
    <s v="HIDRO"/>
    <s v="Construct"/>
    <n v="1"/>
    <s v="pvto"/>
    <n v="8.7680691158863247E-3"/>
    <m/>
    <n v="1"/>
    <n v="14"/>
    <x v="10"/>
    <n v="13455.89"/>
    <n v="5"/>
    <m/>
    <n v="15"/>
    <x v="13"/>
    <n v="13455.89"/>
    <s v="executado"/>
    <s v="executado"/>
    <n v="0"/>
    <n v="0"/>
    <n v="0"/>
    <m/>
    <m/>
    <m/>
    <m/>
    <m/>
  </r>
  <r>
    <s v="1.4.2.6"/>
    <x v="11"/>
    <x v="9"/>
    <x v="57"/>
    <x v="1"/>
    <s v="TIPO"/>
    <n v="5"/>
    <d v="2021-11-29T00:00:00"/>
    <d v="2021-12-03T00:00:00"/>
    <d v="2021-11-29T00:00:00"/>
    <x v="18"/>
    <n v="984.14"/>
    <n v="0"/>
    <m/>
    <m/>
    <x v="1"/>
    <s v="REBINT"/>
    <x v="4"/>
    <s v="REBINT_PAV3"/>
    <s v="REBINT"/>
    <s v="Construct"/>
    <n v="140.59"/>
    <s v="m²"/>
    <n v="6.4128107020110659E-4"/>
    <m/>
    <n v="1"/>
    <n v="16"/>
    <x v="33"/>
    <n v="984.14"/>
    <n v="5"/>
    <m/>
    <n v="16"/>
    <x v="12"/>
    <n v="984.14"/>
    <s v="executado"/>
    <s v="executado"/>
    <n v="0"/>
    <n v="0"/>
    <n v="0"/>
    <m/>
    <m/>
    <m/>
    <m/>
    <m/>
  </r>
  <r>
    <s v="1.4.2.7"/>
    <x v="12"/>
    <x v="10"/>
    <x v="58"/>
    <x v="1"/>
    <s v="TIPO"/>
    <n v="2"/>
    <d v="2021-12-27T00:00:00"/>
    <d v="2021-12-29T00:00:00"/>
    <d v="2021-12-27T00:00:00"/>
    <x v="0"/>
    <n v="3159.37"/>
    <n v="0"/>
    <m/>
    <m/>
    <x v="0"/>
    <s v="SHAFT"/>
    <x v="4"/>
    <s v="SHAFT_PAV3"/>
    <s v="SHAFT"/>
    <s v="Construct"/>
    <n v="10.69"/>
    <s v="m²"/>
    <n v="2.0586950787096045E-3"/>
    <m/>
    <n v="1"/>
    <n v="20"/>
    <x v="12"/>
    <n v="3159.37"/>
    <m/>
    <m/>
    <n v="20"/>
    <x v="0"/>
    <n v="0"/>
    <d v="2022-01-03T00:00:00"/>
    <d v="2022-01-05T00:00:00"/>
    <n v="21"/>
    <n v="21"/>
    <n v="3159.37"/>
    <m/>
    <m/>
    <m/>
    <m/>
    <m/>
  </r>
  <r>
    <s v="1.4.2.8"/>
    <x v="13"/>
    <x v="11"/>
    <x v="59"/>
    <x v="1"/>
    <s v="TIPO"/>
    <n v="5"/>
    <d v="2022-01-05T00:00:00"/>
    <d v="2022-01-12T00:00:00"/>
    <m/>
    <x v="0"/>
    <n v="239.07"/>
    <n v="0"/>
    <m/>
    <m/>
    <x v="0"/>
    <s v="IMP"/>
    <x v="4"/>
    <s v="IMP_PAV3"/>
    <s v="IMP"/>
    <s v="Construct"/>
    <n v="6.08"/>
    <s v="m²"/>
    <n v="1.5578176423372545E-4"/>
    <m/>
    <m/>
    <n v="21"/>
    <x v="14"/>
    <n v="0"/>
    <m/>
    <m/>
    <n v="0"/>
    <x v="0"/>
    <n v="0"/>
    <d v="2022-01-13T00:00:00"/>
    <d v="2022-01-19T00:00:00"/>
    <n v="22"/>
    <n v="23"/>
    <n v="239.07"/>
    <m/>
    <m/>
    <m/>
    <m/>
    <m/>
  </r>
  <r>
    <s v="1.4.2.9"/>
    <x v="14"/>
    <x v="12"/>
    <x v="60"/>
    <x v="1"/>
    <s v="TIPO"/>
    <n v="5"/>
    <d v="2022-01-12T00:00:00"/>
    <d v="2022-01-19T00:00:00"/>
    <m/>
    <x v="0"/>
    <n v="20435.66"/>
    <n v="0"/>
    <m/>
    <m/>
    <x v="0"/>
    <s v="CERAM"/>
    <x v="4"/>
    <s v="CERAM_PAV3"/>
    <s v="CERAM"/>
    <s v="Construct"/>
    <n v="86.26"/>
    <s v="m²"/>
    <n v="1.3316196796254544E-2"/>
    <m/>
    <m/>
    <n v="22"/>
    <x v="15"/>
    <n v="0"/>
    <m/>
    <m/>
    <n v="0"/>
    <x v="0"/>
    <n v="0"/>
    <d v="2022-01-20T00:00:00"/>
    <d v="2022-01-26T00:00:00"/>
    <n v="23"/>
    <n v="24"/>
    <n v="20435.66"/>
    <m/>
    <m/>
    <m/>
    <m/>
    <m/>
  </r>
  <r>
    <s v="1.4.2.10"/>
    <x v="15"/>
    <x v="13"/>
    <x v="61"/>
    <x v="1"/>
    <s v="TIPO"/>
    <n v="5"/>
    <d v="2022-01-19T00:00:00"/>
    <d v="2022-01-26T00:00:00"/>
    <m/>
    <x v="0"/>
    <n v="6811.28"/>
    <n v="0"/>
    <m/>
    <m/>
    <x v="0"/>
    <s v="GEPINT"/>
    <x v="4"/>
    <s v="GEPINT_PAV3"/>
    <s v="GESSO"/>
    <s v="Construct"/>
    <n v="447.45"/>
    <s v="m²"/>
    <n v="4.4383369518964716E-3"/>
    <m/>
    <m/>
    <n v="23"/>
    <x v="16"/>
    <n v="0"/>
    <m/>
    <m/>
    <n v="0"/>
    <x v="0"/>
    <n v="0"/>
    <d v="2022-01-27T00:00:00"/>
    <d v="2022-02-02T00:00:00"/>
    <n v="24"/>
    <n v="25"/>
    <n v="6811.28"/>
    <m/>
    <m/>
    <m/>
    <m/>
    <m/>
  </r>
  <r>
    <s v="1.4.2.11"/>
    <x v="16"/>
    <x v="14"/>
    <x v="62"/>
    <x v="1"/>
    <s v="TIPO"/>
    <n v="5"/>
    <d v="2022-01-26T00:00:00"/>
    <d v="2022-02-02T00:00:00"/>
    <m/>
    <x v="0"/>
    <n v="26500"/>
    <n v="0"/>
    <m/>
    <m/>
    <x v="0"/>
    <s v="ESQ"/>
    <x v="4"/>
    <s v="ESQ_PAV3"/>
    <s v="ESQ"/>
    <s v="Construct"/>
    <n v="21"/>
    <s v="und"/>
    <n v="1.7267815920833748E-2"/>
    <m/>
    <m/>
    <n v="24"/>
    <x v="17"/>
    <n v="0"/>
    <m/>
    <m/>
    <n v="0"/>
    <x v="0"/>
    <n v="0"/>
    <d v="2022-02-03T00:00:00"/>
    <d v="2022-02-07T00:00:00"/>
    <n v="25"/>
    <n v="26"/>
    <n v="26500"/>
    <m/>
    <m/>
    <m/>
    <m/>
    <m/>
  </r>
  <r>
    <s v="1.4.2.12"/>
    <x v="17"/>
    <x v="15"/>
    <x v="63"/>
    <x v="1"/>
    <s v="TIPO"/>
    <n v="5"/>
    <d v="2022-02-02T00:00:00"/>
    <d v="2022-02-09T00:00:00"/>
    <m/>
    <x v="0"/>
    <n v="5134.5200000000004"/>
    <n v="0"/>
    <m/>
    <m/>
    <x v="0"/>
    <s v="GEPINT"/>
    <x v="4"/>
    <s v="GEPINT_PAV3"/>
    <s v="FIA"/>
    <s v="Construct"/>
    <n v="4"/>
    <s v="apto"/>
    <n v="3.3457338189373321E-3"/>
    <m/>
    <m/>
    <n v="25"/>
    <x v="18"/>
    <n v="0"/>
    <m/>
    <m/>
    <n v="0"/>
    <x v="0"/>
    <n v="0"/>
    <d v="2022-02-15T00:00:00"/>
    <d v="2022-02-21T00:00:00"/>
    <n v="27"/>
    <n v="28"/>
    <n v="5134.5200000000004"/>
    <m/>
    <m/>
    <m/>
    <m/>
    <m/>
  </r>
  <r>
    <s v="1.4.2.13"/>
    <x v="18"/>
    <x v="16"/>
    <x v="64"/>
    <x v="1"/>
    <s v="TIPO"/>
    <n v="5"/>
    <d v="2022-02-09T00:00:00"/>
    <d v="2022-02-16T00:00:00"/>
    <m/>
    <x v="0"/>
    <n v="2297.4899999999998"/>
    <n v="0"/>
    <m/>
    <m/>
    <x v="0"/>
    <s v="FOR"/>
    <x v="4"/>
    <s v="FOR_PAV3"/>
    <s v="FOR"/>
    <s v="Construct"/>
    <n v="29.29"/>
    <s v="m²"/>
    <n v="1.4970805433945783E-3"/>
    <m/>
    <m/>
    <n v="26"/>
    <x v="19"/>
    <n v="0"/>
    <m/>
    <m/>
    <n v="0"/>
    <x v="0"/>
    <n v="0"/>
    <d v="2022-02-22T00:00:00"/>
    <d v="2022-02-28T00:00:00"/>
    <n v="28"/>
    <n v="29"/>
    <n v="2297.4899999999998"/>
    <m/>
    <m/>
    <m/>
    <m/>
    <m/>
  </r>
  <r>
    <s v="1.4.2.17"/>
    <x v="19"/>
    <x v="17"/>
    <x v="65"/>
    <x v="1"/>
    <s v="TIPO"/>
    <n v="5"/>
    <d v="2022-02-16T00:00:00"/>
    <d v="2022-02-23T00:00:00"/>
    <m/>
    <x v="0"/>
    <n v="3617.43"/>
    <n v="0"/>
    <m/>
    <m/>
    <x v="0"/>
    <s v="REVCIRC"/>
    <x v="4"/>
    <s v="REVCIRC_PAV3"/>
    <s v="REVCIRC"/>
    <s v="Construct"/>
    <n v="22.5"/>
    <s v="m²"/>
    <n v="2.3571741640189292E-3"/>
    <m/>
    <m/>
    <n v="27"/>
    <x v="20"/>
    <n v="0"/>
    <m/>
    <m/>
    <n v="0"/>
    <x v="0"/>
    <n v="0"/>
    <d v="2022-03-01T00:00:00"/>
    <d v="2022-03-07T00:00:00"/>
    <n v="29"/>
    <n v="30"/>
    <n v="3617.43"/>
    <m/>
    <m/>
    <m/>
    <m/>
    <m/>
  </r>
  <r>
    <s v="1.4.2.14"/>
    <x v="20"/>
    <x v="18"/>
    <x v="66"/>
    <x v="1"/>
    <s v="TIPO"/>
    <n v="2"/>
    <d v="2022-02-21T00:00:00"/>
    <d v="2022-02-23T00:00:00"/>
    <m/>
    <x v="0"/>
    <n v="1400"/>
    <n v="0"/>
    <m/>
    <m/>
    <x v="0"/>
    <s v="DISJ"/>
    <x v="4"/>
    <s v="DISJ_PAV3"/>
    <s v="DISJ"/>
    <s v="Construct"/>
    <n v="4"/>
    <s v="apto"/>
    <n v="9.1226197317612252E-4"/>
    <m/>
    <m/>
    <n v="28"/>
    <x v="20"/>
    <n v="0"/>
    <m/>
    <m/>
    <n v="0"/>
    <x v="0"/>
    <n v="0"/>
    <d v="2022-02-24T00:00:00"/>
    <d v="2022-02-28T00:00:00"/>
    <n v="28"/>
    <n v="29"/>
    <n v="1400"/>
    <m/>
    <m/>
    <m/>
    <m/>
    <m/>
  </r>
  <r>
    <s v="1.4.2.16"/>
    <x v="21"/>
    <x v="19"/>
    <x v="67"/>
    <x v="1"/>
    <s v="TIPO"/>
    <n v="5"/>
    <d v="2022-03-02T00:00:00"/>
    <d v="2022-03-09T00:00:00"/>
    <m/>
    <x v="0"/>
    <n v="14799.65"/>
    <n v="0"/>
    <m/>
    <m/>
    <x v="0"/>
    <s v="GEPINT"/>
    <x v="4"/>
    <s v="GEPINT_PAV3"/>
    <s v="PINT"/>
    <s v="Construct"/>
    <n v="476.74"/>
    <s v="m²"/>
    <n v="9.6436842223685728E-3"/>
    <m/>
    <m/>
    <n v="29"/>
    <x v="22"/>
    <n v="0"/>
    <m/>
    <m/>
    <n v="0"/>
    <x v="0"/>
    <n v="0"/>
    <d v="2022-03-08T00:00:00"/>
    <d v="2022-03-14T00:00:00"/>
    <n v="30"/>
    <n v="31"/>
    <n v="14799.65"/>
    <m/>
    <m/>
    <m/>
    <m/>
    <m/>
  </r>
  <r>
    <s v="1.4.2.24"/>
    <x v="24"/>
    <x v="22"/>
    <x v="68"/>
    <x v="1"/>
    <s v="TIPO"/>
    <n v="2"/>
    <d v="2022-03-02T00:00:00"/>
    <d v="2022-03-04T00:00:00"/>
    <m/>
    <x v="0"/>
    <n v="2054.02"/>
    <n v="0"/>
    <m/>
    <m/>
    <x v="0"/>
    <s v="EF"/>
    <x v="4"/>
    <s v="EF_PAV3"/>
    <s v="EF"/>
    <s v="Construct"/>
    <n v="4.17"/>
    <s v="und"/>
    <n v="1.3384316701022993E-3"/>
    <m/>
    <m/>
    <n v="29"/>
    <x v="21"/>
    <n v="0"/>
    <m/>
    <m/>
    <n v="0"/>
    <x v="0"/>
    <n v="0"/>
    <d v="2022-03-10T00:00:00"/>
    <d v="2022-03-14T00:00:00"/>
    <n v="30"/>
    <n v="31"/>
    <n v="2054.02"/>
    <m/>
    <m/>
    <m/>
    <m/>
    <m/>
  </r>
  <r>
    <s v="1.4.2.18"/>
    <x v="22"/>
    <x v="20"/>
    <x v="69"/>
    <x v="1"/>
    <s v="TIPO"/>
    <n v="5"/>
    <d v="2022-03-09T00:00:00"/>
    <d v="2022-03-16T00:00:00"/>
    <m/>
    <x v="0"/>
    <n v="5236.0200000000004"/>
    <n v="0"/>
    <m/>
    <m/>
    <x v="0"/>
    <s v="LOU"/>
    <x v="4"/>
    <s v="LOU_PAV3"/>
    <s v="LOU"/>
    <s v="Construct"/>
    <n v="16"/>
    <s v="und"/>
    <n v="3.411872811992601E-3"/>
    <m/>
    <m/>
    <n v="30"/>
    <x v="23"/>
    <n v="0"/>
    <m/>
    <m/>
    <n v="0"/>
    <x v="0"/>
    <n v="0"/>
    <d v="2022-03-17T00:00:00"/>
    <d v="2022-03-21T00:00:00"/>
    <n v="31"/>
    <n v="32"/>
    <n v="5236.0200000000004"/>
    <m/>
    <m/>
    <m/>
    <m/>
    <m/>
  </r>
  <r>
    <s v="1.4.2.19"/>
    <x v="23"/>
    <x v="21"/>
    <x v="70"/>
    <x v="1"/>
    <s v="TIPO"/>
    <n v="5"/>
    <d v="2022-03-16T00:00:00"/>
    <d v="2022-03-23T00:00:00"/>
    <m/>
    <x v="0"/>
    <n v="10400"/>
    <n v="0"/>
    <m/>
    <m/>
    <x v="0"/>
    <s v="PM"/>
    <x v="4"/>
    <s v="PM_PAV3"/>
    <s v="PM"/>
    <s v="Construct"/>
    <n v="20"/>
    <s v="m"/>
    <n v="6.7768032293083385E-3"/>
    <m/>
    <m/>
    <n v="31"/>
    <x v="30"/>
    <n v="0"/>
    <m/>
    <m/>
    <n v="0"/>
    <x v="0"/>
    <n v="0"/>
    <d v="2022-03-22T00:00:00"/>
    <d v="2022-03-24T00:00:00"/>
    <n v="32"/>
    <n v="32"/>
    <n v="10400"/>
    <m/>
    <m/>
    <m/>
    <m/>
    <m/>
  </r>
  <r>
    <s v="1.4.2.15"/>
    <x v="25"/>
    <x v="23"/>
    <x v="71"/>
    <x v="1"/>
    <s v="TIPO"/>
    <n v="5"/>
    <d v="2022-03-23T00:00:00"/>
    <d v="2022-03-30T00:00:00"/>
    <m/>
    <x v="0"/>
    <n v="13171.26"/>
    <n v="0"/>
    <m/>
    <m/>
    <x v="0"/>
    <s v="LAM"/>
    <x v="4"/>
    <s v="LAM_PAV3"/>
    <s v="LAM"/>
    <s v="Construct"/>
    <n v="80.88"/>
    <s v="m²"/>
    <n v="8.5825997405826679E-3"/>
    <m/>
    <m/>
    <n v="32"/>
    <x v="24"/>
    <n v="0"/>
    <m/>
    <m/>
    <n v="0"/>
    <x v="0"/>
    <n v="0"/>
    <d v="2022-04-05T00:00:00"/>
    <d v="2022-04-11T00:00:00"/>
    <n v="34"/>
    <n v="35"/>
    <n v="13171.26"/>
    <m/>
    <m/>
    <m/>
    <m/>
    <m/>
  </r>
  <r>
    <s v="1.4.2.20"/>
    <x v="26"/>
    <x v="24"/>
    <x v="72"/>
    <x v="1"/>
    <s v="TIPO"/>
    <n v="2"/>
    <d v="2022-04-04T00:00:00"/>
    <d v="2022-04-06T00:00:00"/>
    <m/>
    <x v="0"/>
    <n v="1340.04"/>
    <n v="0"/>
    <m/>
    <m/>
    <x v="0"/>
    <s v="METAIS"/>
    <x v="4"/>
    <s v="METAIS_PAV3"/>
    <s v="METAIS"/>
    <s v="Construct"/>
    <n v="12"/>
    <s v="und"/>
    <n v="8.7319109609637949E-4"/>
    <m/>
    <m/>
    <n v="34"/>
    <x v="25"/>
    <n v="0"/>
    <m/>
    <m/>
    <n v="0"/>
    <x v="0"/>
    <n v="0"/>
    <d v="2022-03-24T00:00:00"/>
    <d v="2022-03-28T00:00:00"/>
    <n v="32"/>
    <n v="33"/>
    <n v="1340.04"/>
    <m/>
    <m/>
    <m/>
    <m/>
    <m/>
  </r>
  <r>
    <s v="1.4.2.21"/>
    <x v="27"/>
    <x v="25"/>
    <x v="73"/>
    <x v="1"/>
    <s v="TIPO"/>
    <n v="2"/>
    <d v="2022-04-04T00:00:00"/>
    <d v="2022-04-06T00:00:00"/>
    <m/>
    <x v="0"/>
    <n v="0"/>
    <n v="0"/>
    <m/>
    <m/>
    <x v="0"/>
    <s v="GEPINT"/>
    <x v="4"/>
    <s v="GEPINT_PAV3"/>
    <s v="ACAB"/>
    <s v="Construct"/>
    <n v="4"/>
    <s v="apto"/>
    <n v="0"/>
    <m/>
    <m/>
    <n v="34"/>
    <x v="25"/>
    <n v="0"/>
    <m/>
    <m/>
    <n v="0"/>
    <x v="0"/>
    <n v="0"/>
    <d v="2022-03-24T00:00:00"/>
    <d v="2022-03-28T00:00:00"/>
    <n v="32"/>
    <n v="33"/>
    <n v="0"/>
    <m/>
    <m/>
    <m/>
    <m/>
    <m/>
  </r>
  <r>
    <s v="1.4.2.22"/>
    <x v="28"/>
    <x v="26"/>
    <x v="74"/>
    <x v="1"/>
    <s v="TIPO"/>
    <n v="5"/>
    <d v="2022-04-13T00:00:00"/>
    <d v="2022-04-20T00:00:00"/>
    <m/>
    <x v="0"/>
    <n v="3687.38"/>
    <n v="0"/>
    <m/>
    <m/>
    <x v="0"/>
    <s v="GEPINT"/>
    <x v="4"/>
    <s v="GEPINT_PAV3"/>
    <s v="PINTF"/>
    <s v="Construct"/>
    <n v="614.55999999999995"/>
    <s v="m²"/>
    <n v="2.4027546818929791E-3"/>
    <m/>
    <m/>
    <n v="35"/>
    <x v="6"/>
    <n v="0"/>
    <m/>
    <m/>
    <n v="0"/>
    <x v="0"/>
    <n v="0"/>
    <d v="2022-04-12T00:00:00"/>
    <d v="2022-04-18T00:00:00"/>
    <n v="35"/>
    <n v="36"/>
    <n v="3687.38"/>
    <m/>
    <m/>
    <m/>
    <m/>
    <m/>
  </r>
  <r>
    <s v="1.4.2.23"/>
    <x v="29"/>
    <x v="27"/>
    <x v="75"/>
    <x v="1"/>
    <s v="TIPO"/>
    <n v="2"/>
    <d v="2022-04-25T00:00:00"/>
    <d v="2022-04-27T00:00:00"/>
    <m/>
    <x v="0"/>
    <n v="500"/>
    <n v="0"/>
    <m/>
    <m/>
    <x v="0"/>
    <s v="GEPINT"/>
    <x v="4"/>
    <s v="GEPINT_PAV3"/>
    <s v="COMPL"/>
    <s v="Construct"/>
    <n v="0.25"/>
    <s v="torre"/>
    <n v="3.2580784756290089E-4"/>
    <m/>
    <m/>
    <n v="37"/>
    <x v="0"/>
    <n v="0"/>
    <m/>
    <m/>
    <n v="0"/>
    <x v="0"/>
    <n v="0"/>
    <d v="2022-04-19T00:00:00"/>
    <d v="2022-04-21T00:00:00"/>
    <n v="36"/>
    <n v="36"/>
    <n v="500"/>
    <m/>
    <m/>
    <m/>
    <m/>
    <m/>
  </r>
  <r>
    <s v="1.5"/>
    <x v="32"/>
    <x v="0"/>
    <x v="76"/>
    <x v="0"/>
    <m/>
    <n v="125"/>
    <d v="2021-11-08T00:00:00"/>
    <d v="2022-04-29T00:00:00"/>
    <m/>
    <x v="0"/>
    <m/>
    <n v="0"/>
    <m/>
    <m/>
    <x v="0"/>
    <m/>
    <x v="0"/>
    <s v="_"/>
    <n v="0"/>
    <n v="0"/>
    <m/>
    <m/>
    <n v="0"/>
    <m/>
    <m/>
    <n v="13"/>
    <x v="0"/>
    <n v="0"/>
    <m/>
    <m/>
    <n v="0"/>
    <x v="0"/>
    <n v="0"/>
    <d v="2021-11-08T00:00:00"/>
    <d v="2022-04-28T00:00:00"/>
    <n v="13"/>
    <n v="37"/>
    <n v="0"/>
    <m/>
    <m/>
    <m/>
    <m/>
    <m/>
  </r>
  <r>
    <s v="1.5.2.3"/>
    <x v="8"/>
    <x v="6"/>
    <x v="77"/>
    <x v="1"/>
    <s v="TIPO"/>
    <n v="5"/>
    <d v="2021-11-08T00:00:00"/>
    <d v="2021-11-12T00:00:00"/>
    <d v="2021-11-15T00:00:00"/>
    <x v="9"/>
    <n v="96851.74"/>
    <n v="0"/>
    <m/>
    <m/>
    <x v="1"/>
    <s v="ALV"/>
    <x v="5"/>
    <s v="ALV_PAV4"/>
    <s v="ALV"/>
    <s v="Construct"/>
    <n v="390.7"/>
    <s v="m²"/>
    <n v="6.3110113884243424E-2"/>
    <m/>
    <n v="1"/>
    <n v="13"/>
    <x v="28"/>
    <n v="96851.74"/>
    <n v="5"/>
    <m/>
    <n v="14"/>
    <x v="8"/>
    <n v="96851.74"/>
    <s v="executado"/>
    <s v="executado"/>
    <n v="0"/>
    <n v="0"/>
    <n v="0"/>
    <m/>
    <m/>
    <m/>
    <m/>
    <m/>
  </r>
  <r>
    <s v="1.5.2.4"/>
    <x v="9"/>
    <x v="7"/>
    <x v="78"/>
    <x v="1"/>
    <s v="TIPO"/>
    <n v="5"/>
    <d v="2021-11-15T00:00:00"/>
    <d v="2021-11-19T00:00:00"/>
    <d v="2021-11-22T00:00:00"/>
    <x v="14"/>
    <n v="68188.039999999994"/>
    <n v="0"/>
    <m/>
    <m/>
    <x v="1"/>
    <s v="ESTINLOCO"/>
    <x v="5"/>
    <s v="ESTINLOCO_PAV4"/>
    <s v="ESTINLOCO"/>
    <s v="Construct"/>
    <n v="26.73"/>
    <s v="m³"/>
    <n v="4.4432397083865975E-2"/>
    <m/>
    <n v="1"/>
    <n v="14"/>
    <x v="10"/>
    <n v="68188.039999999994"/>
    <n v="5"/>
    <m/>
    <n v="15"/>
    <x v="13"/>
    <n v="68188.039999999994"/>
    <s v="executado"/>
    <s v="executado"/>
    <n v="0"/>
    <n v="0"/>
    <n v="0"/>
    <m/>
    <m/>
    <m/>
    <m/>
    <m/>
  </r>
  <r>
    <s v="1.5.2.5"/>
    <x v="10"/>
    <x v="8"/>
    <x v="79"/>
    <x v="1"/>
    <s v="TIPO"/>
    <n v="5"/>
    <d v="2021-11-22T00:00:00"/>
    <d v="2021-11-26T00:00:00"/>
    <d v="2021-11-15T00:00:00"/>
    <x v="9"/>
    <n v="13455.89"/>
    <n v="0"/>
    <m/>
    <m/>
    <x v="1"/>
    <s v="HIDRO"/>
    <x v="5"/>
    <s v="HIDRO_PAV4"/>
    <s v="HIDRO"/>
    <s v="Construct"/>
    <n v="1"/>
    <s v="pvto"/>
    <n v="8.7680691158863247E-3"/>
    <m/>
    <n v="1"/>
    <n v="15"/>
    <x v="29"/>
    <n v="13455.89"/>
    <n v="5"/>
    <m/>
    <n v="14"/>
    <x v="8"/>
    <n v="13455.89"/>
    <s v="executado"/>
    <s v="executado"/>
    <n v="0"/>
    <n v="0"/>
    <n v="0"/>
    <m/>
    <m/>
    <m/>
    <m/>
    <m/>
  </r>
  <r>
    <s v="1.5.2.6"/>
    <x v="11"/>
    <x v="9"/>
    <x v="80"/>
    <x v="1"/>
    <s v="TIPO"/>
    <n v="5"/>
    <d v="2021-12-06T00:00:00"/>
    <d v="2021-12-10T00:00:00"/>
    <d v="2021-12-06T00:00:00"/>
    <x v="19"/>
    <n v="984.14"/>
    <n v="0"/>
    <m/>
    <m/>
    <x v="1"/>
    <s v="REBINT"/>
    <x v="5"/>
    <s v="REBINT_PAV4"/>
    <s v="REBINT"/>
    <s v="Construct"/>
    <n v="140.59"/>
    <s v="m²"/>
    <n v="6.4128107020110659E-4"/>
    <m/>
    <n v="1"/>
    <n v="17"/>
    <x v="34"/>
    <n v="984.14"/>
    <n v="5"/>
    <m/>
    <n v="17"/>
    <x v="7"/>
    <n v="984.14"/>
    <s v="executado"/>
    <s v="executado"/>
    <n v="0"/>
    <n v="0"/>
    <n v="0"/>
    <m/>
    <m/>
    <m/>
    <m/>
    <m/>
  </r>
  <r>
    <s v="1.5.2.7"/>
    <x v="12"/>
    <x v="10"/>
    <x v="81"/>
    <x v="1"/>
    <s v="TIPO"/>
    <n v="2"/>
    <d v="2021-12-29T00:00:00"/>
    <d v="2021-12-31T00:00:00"/>
    <m/>
    <x v="0"/>
    <n v="3159.37"/>
    <n v="0"/>
    <m/>
    <m/>
    <x v="0"/>
    <s v="SHAFT"/>
    <x v="5"/>
    <s v="SHAFT_PAV4"/>
    <s v="SHAFT"/>
    <s v="Construct"/>
    <n v="10.69"/>
    <s v="m²"/>
    <n v="2.0586950787096045E-3"/>
    <m/>
    <n v="1"/>
    <n v="20"/>
    <x v="12"/>
    <n v="3159.37"/>
    <m/>
    <m/>
    <n v="0"/>
    <x v="0"/>
    <n v="0"/>
    <d v="2022-01-05T00:00:00"/>
    <d v="2022-01-07T00:00:00"/>
    <n v="21"/>
    <n v="21"/>
    <n v="3159.37"/>
    <m/>
    <m/>
    <m/>
    <m/>
    <m/>
  </r>
  <r>
    <s v="1.5.2.8"/>
    <x v="13"/>
    <x v="11"/>
    <x v="82"/>
    <x v="1"/>
    <s v="TIPO"/>
    <n v="5"/>
    <d v="2022-01-12T00:00:00"/>
    <d v="2022-01-19T00:00:00"/>
    <m/>
    <x v="0"/>
    <n v="239.07"/>
    <n v="0"/>
    <m/>
    <m/>
    <x v="0"/>
    <s v="IMP"/>
    <x v="5"/>
    <s v="IMP_PAV4"/>
    <s v="IMP"/>
    <s v="Construct"/>
    <n v="6.08"/>
    <s v="m²"/>
    <n v="1.5578176423372545E-4"/>
    <m/>
    <m/>
    <n v="22"/>
    <x v="15"/>
    <n v="0"/>
    <m/>
    <m/>
    <n v="0"/>
    <x v="0"/>
    <n v="0"/>
    <d v="2022-01-20T00:00:00"/>
    <d v="2022-01-26T00:00:00"/>
    <n v="23"/>
    <n v="24"/>
    <n v="239.07"/>
    <m/>
    <m/>
    <m/>
    <m/>
    <m/>
  </r>
  <r>
    <s v="1.5.2.9"/>
    <x v="14"/>
    <x v="12"/>
    <x v="83"/>
    <x v="1"/>
    <s v="TIPO"/>
    <n v="5"/>
    <d v="2022-01-19T00:00:00"/>
    <d v="2022-01-26T00:00:00"/>
    <m/>
    <x v="0"/>
    <n v="20435.66"/>
    <n v="0"/>
    <m/>
    <m/>
    <x v="0"/>
    <s v="CERAM"/>
    <x v="5"/>
    <s v="CERAM_PAV4"/>
    <s v="CERAM"/>
    <s v="Construct"/>
    <n v="86.26"/>
    <s v="m²"/>
    <n v="1.3316196796254544E-2"/>
    <m/>
    <m/>
    <n v="23"/>
    <x v="16"/>
    <n v="0"/>
    <m/>
    <m/>
    <n v="0"/>
    <x v="0"/>
    <n v="0"/>
    <d v="2022-01-27T00:00:00"/>
    <d v="2022-02-02T00:00:00"/>
    <n v="24"/>
    <n v="25"/>
    <n v="20435.66"/>
    <m/>
    <m/>
    <m/>
    <m/>
    <m/>
  </r>
  <r>
    <s v="1.5.2.10"/>
    <x v="15"/>
    <x v="13"/>
    <x v="84"/>
    <x v="1"/>
    <s v="TIPO"/>
    <n v="5"/>
    <d v="2022-01-26T00:00:00"/>
    <d v="2022-02-02T00:00:00"/>
    <m/>
    <x v="0"/>
    <n v="6811.28"/>
    <n v="0"/>
    <m/>
    <m/>
    <x v="0"/>
    <s v="GEPINT"/>
    <x v="5"/>
    <s v="GEPINT_PAV4"/>
    <s v="GESSO"/>
    <s v="Construct"/>
    <n v="447.45"/>
    <s v="m²"/>
    <n v="4.4383369518964716E-3"/>
    <m/>
    <m/>
    <n v="24"/>
    <x v="17"/>
    <n v="0"/>
    <m/>
    <m/>
    <n v="0"/>
    <x v="0"/>
    <n v="0"/>
    <d v="2022-02-03T00:00:00"/>
    <d v="2022-02-09T00:00:00"/>
    <n v="25"/>
    <n v="26"/>
    <n v="6811.28"/>
    <m/>
    <m/>
    <m/>
    <m/>
    <m/>
  </r>
  <r>
    <s v="1.5.2.11"/>
    <x v="16"/>
    <x v="14"/>
    <x v="85"/>
    <x v="1"/>
    <s v="TIPO"/>
    <n v="5"/>
    <d v="2022-02-02T00:00:00"/>
    <d v="2022-02-09T00:00:00"/>
    <m/>
    <x v="0"/>
    <n v="26500"/>
    <n v="0"/>
    <m/>
    <m/>
    <x v="0"/>
    <s v="ESQ"/>
    <x v="5"/>
    <s v="ESQ_PAV4"/>
    <s v="ESQ"/>
    <s v="Construct"/>
    <n v="21"/>
    <s v="und"/>
    <n v="1.7267815920833748E-2"/>
    <m/>
    <m/>
    <n v="25"/>
    <x v="18"/>
    <n v="0"/>
    <m/>
    <m/>
    <n v="0"/>
    <x v="0"/>
    <n v="0"/>
    <d v="2022-02-10T00:00:00"/>
    <d v="2022-02-14T00:00:00"/>
    <n v="26"/>
    <n v="27"/>
    <n v="26500"/>
    <m/>
    <m/>
    <m/>
    <m/>
    <m/>
  </r>
  <r>
    <s v="1.5.2.12"/>
    <x v="17"/>
    <x v="15"/>
    <x v="86"/>
    <x v="1"/>
    <s v="TIPO"/>
    <n v="5"/>
    <d v="2022-02-09T00:00:00"/>
    <d v="2022-02-16T00:00:00"/>
    <m/>
    <x v="0"/>
    <n v="5134.5200000000004"/>
    <n v="0"/>
    <m/>
    <m/>
    <x v="0"/>
    <s v="GEPINT"/>
    <x v="5"/>
    <s v="GEPINT_PAV4"/>
    <s v="FIA"/>
    <s v="Construct"/>
    <n v="4"/>
    <s v="apto"/>
    <n v="3.3457338189373321E-3"/>
    <m/>
    <m/>
    <n v="26"/>
    <x v="19"/>
    <n v="0"/>
    <m/>
    <m/>
    <n v="0"/>
    <x v="0"/>
    <n v="0"/>
    <d v="2022-02-22T00:00:00"/>
    <d v="2022-02-28T00:00:00"/>
    <n v="28"/>
    <n v="29"/>
    <n v="5134.5200000000004"/>
    <m/>
    <m/>
    <m/>
    <m/>
    <m/>
  </r>
  <r>
    <s v="1.5.2.13"/>
    <x v="18"/>
    <x v="16"/>
    <x v="87"/>
    <x v="1"/>
    <s v="TIPO"/>
    <n v="5"/>
    <d v="2022-02-16T00:00:00"/>
    <d v="2022-02-23T00:00:00"/>
    <m/>
    <x v="0"/>
    <n v="2297.4899999999998"/>
    <n v="0"/>
    <m/>
    <m/>
    <x v="0"/>
    <s v="FOR"/>
    <x v="5"/>
    <s v="FOR_PAV4"/>
    <s v="FOR"/>
    <s v="Construct"/>
    <n v="29.29"/>
    <s v="m²"/>
    <n v="1.4970805433945783E-3"/>
    <m/>
    <m/>
    <n v="27"/>
    <x v="20"/>
    <n v="0"/>
    <m/>
    <m/>
    <n v="0"/>
    <x v="0"/>
    <n v="0"/>
    <d v="2022-03-01T00:00:00"/>
    <d v="2022-03-07T00:00:00"/>
    <n v="29"/>
    <n v="30"/>
    <n v="2297.4899999999998"/>
    <m/>
    <m/>
    <m/>
    <m/>
    <m/>
  </r>
  <r>
    <s v="1.5.2.14"/>
    <x v="20"/>
    <x v="18"/>
    <x v="88"/>
    <x v="1"/>
    <s v="TIPO"/>
    <n v="2"/>
    <d v="2022-02-23T00:00:00"/>
    <d v="2022-02-25T00:00:00"/>
    <m/>
    <x v="0"/>
    <n v="1400"/>
    <n v="0"/>
    <m/>
    <m/>
    <x v="0"/>
    <s v="DISJ"/>
    <x v="5"/>
    <s v="DISJ_PAV4"/>
    <s v="DISJ"/>
    <s v="Construct"/>
    <n v="4"/>
    <s v="m²"/>
    <n v="9.1226197317612252E-4"/>
    <m/>
    <m/>
    <n v="28"/>
    <x v="20"/>
    <n v="0"/>
    <m/>
    <m/>
    <n v="0"/>
    <x v="0"/>
    <n v="0"/>
    <d v="2022-03-01T00:00:00"/>
    <d v="2022-03-03T00:00:00"/>
    <n v="29"/>
    <n v="29"/>
    <n v="1400"/>
    <m/>
    <m/>
    <m/>
    <m/>
    <m/>
  </r>
  <r>
    <s v="1.5.2.17"/>
    <x v="19"/>
    <x v="17"/>
    <x v="89"/>
    <x v="1"/>
    <s v="TIPO"/>
    <n v="5"/>
    <d v="2022-02-23T00:00:00"/>
    <d v="2022-03-02T00:00:00"/>
    <m/>
    <x v="0"/>
    <n v="3617.43"/>
    <n v="0"/>
    <m/>
    <m/>
    <x v="0"/>
    <s v="REVCIRC"/>
    <x v="5"/>
    <s v="REVCIRC_PAV4"/>
    <s v="REVCIRC"/>
    <s v="Construct"/>
    <n v="22.5"/>
    <s v="apto"/>
    <n v="2.3571741640189292E-3"/>
    <m/>
    <m/>
    <n v="28"/>
    <x v="21"/>
    <n v="0"/>
    <m/>
    <m/>
    <n v="0"/>
    <x v="0"/>
    <n v="0"/>
    <d v="2022-03-08T00:00:00"/>
    <d v="2022-03-14T00:00:00"/>
    <n v="30"/>
    <n v="31"/>
    <n v="3617.43"/>
    <m/>
    <m/>
    <m/>
    <m/>
    <m/>
  </r>
  <r>
    <s v="1.5.2.24"/>
    <x v="24"/>
    <x v="22"/>
    <x v="90"/>
    <x v="1"/>
    <s v="TIPO"/>
    <n v="2"/>
    <d v="2022-03-02T00:00:00"/>
    <d v="2022-03-04T00:00:00"/>
    <m/>
    <x v="0"/>
    <n v="2054.02"/>
    <n v="0"/>
    <m/>
    <m/>
    <x v="0"/>
    <s v="EF"/>
    <x v="5"/>
    <s v="EF_PAV4"/>
    <s v="EF"/>
    <s v="Construct"/>
    <n v="4.17"/>
    <s v="m²"/>
    <n v="1.3384316701022993E-3"/>
    <m/>
    <m/>
    <n v="29"/>
    <x v="21"/>
    <n v="0"/>
    <m/>
    <m/>
    <n v="0"/>
    <x v="0"/>
    <n v="0"/>
    <d v="2022-03-10T00:00:00"/>
    <d v="2022-03-14T00:00:00"/>
    <n v="30"/>
    <n v="31"/>
    <n v="2054.02"/>
    <m/>
    <m/>
    <m/>
    <m/>
    <m/>
  </r>
  <r>
    <s v="1.5.2.16"/>
    <x v="21"/>
    <x v="19"/>
    <x v="91"/>
    <x v="1"/>
    <s v="TIPO"/>
    <n v="5"/>
    <d v="2022-03-09T00:00:00"/>
    <d v="2022-03-16T00:00:00"/>
    <m/>
    <x v="0"/>
    <n v="14799.65"/>
    <n v="0"/>
    <m/>
    <m/>
    <x v="0"/>
    <s v="GEPINT"/>
    <x v="5"/>
    <s v="GEPINT_PAV4"/>
    <s v="PINT"/>
    <s v="Construct"/>
    <n v="476.74"/>
    <s v="und"/>
    <n v="9.6436842223685728E-3"/>
    <m/>
    <m/>
    <n v="30"/>
    <x v="23"/>
    <n v="0"/>
    <m/>
    <m/>
    <n v="0"/>
    <x v="0"/>
    <n v="0"/>
    <d v="2022-03-15T00:00:00"/>
    <d v="2022-03-21T00:00:00"/>
    <n v="31"/>
    <n v="32"/>
    <n v="14799.65"/>
    <m/>
    <m/>
    <m/>
    <m/>
    <m/>
  </r>
  <r>
    <s v="1.5.2.18"/>
    <x v="22"/>
    <x v="20"/>
    <x v="92"/>
    <x v="1"/>
    <s v="TIPO"/>
    <n v="5"/>
    <d v="2022-03-16T00:00:00"/>
    <d v="2022-03-23T00:00:00"/>
    <m/>
    <x v="0"/>
    <n v="5236.0200000000004"/>
    <n v="0"/>
    <m/>
    <m/>
    <x v="0"/>
    <s v="LOU"/>
    <x v="5"/>
    <s v="LOU_PAV4"/>
    <s v="LOU"/>
    <s v="Construct"/>
    <n v="16"/>
    <s v="und"/>
    <n v="3.411872811992601E-3"/>
    <m/>
    <m/>
    <n v="31"/>
    <x v="30"/>
    <n v="0"/>
    <m/>
    <m/>
    <n v="0"/>
    <x v="0"/>
    <n v="0"/>
    <d v="2022-03-22T00:00:00"/>
    <d v="2022-03-24T00:00:00"/>
    <n v="32"/>
    <n v="32"/>
    <n v="5236.0200000000004"/>
    <m/>
    <m/>
    <m/>
    <m/>
    <m/>
  </r>
  <r>
    <s v="1.5.2.19"/>
    <x v="23"/>
    <x v="21"/>
    <x v="93"/>
    <x v="1"/>
    <s v="TIPO"/>
    <n v="5"/>
    <d v="2022-03-23T00:00:00"/>
    <d v="2022-03-30T00:00:00"/>
    <m/>
    <x v="0"/>
    <n v="10400"/>
    <n v="0"/>
    <m/>
    <m/>
    <x v="0"/>
    <s v="PM"/>
    <x v="5"/>
    <s v="PM_PAV4"/>
    <s v="PM"/>
    <s v="Construct"/>
    <n v="20"/>
    <s v="m"/>
    <n v="6.7768032293083385E-3"/>
    <m/>
    <m/>
    <n v="32"/>
    <x v="24"/>
    <n v="0"/>
    <m/>
    <m/>
    <n v="0"/>
    <x v="0"/>
    <n v="0"/>
    <d v="2022-03-24T00:00:00"/>
    <d v="2022-03-28T00:00:00"/>
    <n v="32"/>
    <n v="33"/>
    <n v="10400"/>
    <m/>
    <m/>
    <m/>
    <m/>
    <m/>
  </r>
  <r>
    <s v="1.5.2.15"/>
    <x v="25"/>
    <x v="23"/>
    <x v="94"/>
    <x v="1"/>
    <s v="TIPO"/>
    <n v="5"/>
    <d v="2022-03-30T00:00:00"/>
    <d v="2022-04-06T00:00:00"/>
    <m/>
    <x v="0"/>
    <n v="13171.26"/>
    <n v="0"/>
    <m/>
    <m/>
    <x v="0"/>
    <s v="LAM"/>
    <x v="5"/>
    <s v="LAM_PAV4"/>
    <s v="LAM"/>
    <s v="Construct"/>
    <n v="80.88"/>
    <s v="m²"/>
    <n v="8.5825997405826679E-3"/>
    <m/>
    <m/>
    <n v="33"/>
    <x v="25"/>
    <n v="0"/>
    <m/>
    <m/>
    <n v="0"/>
    <x v="0"/>
    <n v="0"/>
    <d v="2022-04-12T00:00:00"/>
    <d v="2022-04-18T00:00:00"/>
    <n v="35"/>
    <n v="36"/>
    <n v="13171.26"/>
    <m/>
    <m/>
    <m/>
    <m/>
    <m/>
  </r>
  <r>
    <s v="1.5.2.20"/>
    <x v="26"/>
    <x v="24"/>
    <x v="95"/>
    <x v="1"/>
    <s v="TIPO"/>
    <n v="2"/>
    <d v="2022-04-06T00:00:00"/>
    <d v="2022-04-08T00:00:00"/>
    <m/>
    <x v="0"/>
    <n v="1340.04"/>
    <n v="0"/>
    <m/>
    <m/>
    <x v="0"/>
    <s v="METAIS"/>
    <x v="5"/>
    <s v="METAIS_PAV4"/>
    <s v="METAIS"/>
    <s v="Construct"/>
    <n v="12"/>
    <s v="und"/>
    <n v="8.7319109609637949E-4"/>
    <m/>
    <m/>
    <n v="34"/>
    <x v="25"/>
    <n v="0"/>
    <m/>
    <m/>
    <n v="0"/>
    <x v="0"/>
    <n v="0"/>
    <d v="2022-03-29T00:00:00"/>
    <d v="2022-03-31T00:00:00"/>
    <n v="33"/>
    <n v="33"/>
    <n v="1340.04"/>
    <m/>
    <m/>
    <m/>
    <m/>
    <m/>
  </r>
  <r>
    <s v="1.5.2.21"/>
    <x v="27"/>
    <x v="25"/>
    <x v="96"/>
    <x v="1"/>
    <s v="TIPO"/>
    <n v="2"/>
    <d v="2022-04-06T00:00:00"/>
    <d v="2022-04-08T00:00:00"/>
    <m/>
    <x v="0"/>
    <n v="0"/>
    <n v="0"/>
    <m/>
    <m/>
    <x v="0"/>
    <s v="GEPINT"/>
    <x v="5"/>
    <s v="GEPINT_PAV4"/>
    <s v="ACAB"/>
    <s v="Construct"/>
    <n v="4"/>
    <s v="apto"/>
    <n v="0"/>
    <m/>
    <m/>
    <n v="34"/>
    <x v="25"/>
    <n v="0"/>
    <m/>
    <m/>
    <n v="0"/>
    <x v="0"/>
    <n v="0"/>
    <d v="2022-03-29T00:00:00"/>
    <d v="2022-03-31T00:00:00"/>
    <n v="33"/>
    <n v="33"/>
    <n v="0"/>
    <m/>
    <m/>
    <m/>
    <m/>
    <m/>
  </r>
  <r>
    <s v="1.5.2.22"/>
    <x v="28"/>
    <x v="26"/>
    <x v="97"/>
    <x v="1"/>
    <s v="TIPO"/>
    <n v="5"/>
    <d v="2022-04-20T00:00:00"/>
    <d v="2022-04-27T00:00:00"/>
    <m/>
    <x v="0"/>
    <n v="3687.38"/>
    <n v="0"/>
    <m/>
    <m/>
    <x v="0"/>
    <s v="GEPINT"/>
    <x v="5"/>
    <s v="GEPINT_PAV4"/>
    <s v="PINTF"/>
    <s v="Construct"/>
    <n v="614.55999999999995"/>
    <s v="m²"/>
    <n v="2.4027546818929791E-3"/>
    <m/>
    <m/>
    <n v="36"/>
    <x v="0"/>
    <n v="0"/>
    <m/>
    <m/>
    <n v="0"/>
    <x v="0"/>
    <n v="0"/>
    <d v="2022-04-19T00:00:00"/>
    <d v="2022-04-25T00:00:00"/>
    <n v="36"/>
    <n v="37"/>
    <n v="3687.38"/>
    <m/>
    <m/>
    <m/>
    <m/>
    <m/>
  </r>
  <r>
    <s v="1.5.2.23"/>
    <x v="29"/>
    <x v="27"/>
    <x v="98"/>
    <x v="1"/>
    <s v="TIPO"/>
    <n v="2"/>
    <d v="2022-04-27T00:00:00"/>
    <d v="2022-04-29T00:00:00"/>
    <m/>
    <x v="0"/>
    <n v="500"/>
    <n v="0"/>
    <m/>
    <m/>
    <x v="0"/>
    <s v="GEPINT"/>
    <x v="5"/>
    <s v="GEPINT_PAV4"/>
    <s v="COMPL"/>
    <s v="Construct"/>
    <n v="0.25"/>
    <s v="torre"/>
    <n v="3.2580784756290089E-4"/>
    <m/>
    <m/>
    <n v="37"/>
    <x v="0"/>
    <n v="0"/>
    <m/>
    <m/>
    <n v="0"/>
    <x v="0"/>
    <n v="0"/>
    <d v="2022-04-26T00:00:00"/>
    <d v="2022-04-28T00:00:00"/>
    <n v="37"/>
    <n v="37"/>
    <n v="500"/>
    <m/>
    <m/>
    <m/>
    <m/>
    <m/>
  </r>
  <r>
    <s v="1.6"/>
    <x v="33"/>
    <x v="0"/>
    <x v="99"/>
    <x v="0"/>
    <m/>
    <n v="25"/>
    <d v="2021-11-22T00:00:00"/>
    <d v="2021-12-24T00:00:00"/>
    <m/>
    <x v="0"/>
    <m/>
    <n v="0"/>
    <m/>
    <m/>
    <x v="0"/>
    <m/>
    <x v="0"/>
    <s v="_"/>
    <n v="0"/>
    <n v="0"/>
    <m/>
    <m/>
    <n v="0"/>
    <m/>
    <m/>
    <n v="15"/>
    <x v="11"/>
    <n v="0"/>
    <m/>
    <m/>
    <n v="0"/>
    <x v="0"/>
    <n v="0"/>
    <d v="2021-11-22T00:00:00"/>
    <d v="2021-12-24T00:00:00"/>
    <n v="15"/>
    <n v="19"/>
    <n v="0"/>
    <m/>
    <m/>
    <m/>
    <m/>
    <m/>
  </r>
  <r>
    <s v="1.6.3.1"/>
    <x v="8"/>
    <x v="6"/>
    <x v="100"/>
    <x v="1"/>
    <s v="COBERTURA"/>
    <n v="5"/>
    <d v="2021-11-22T00:00:00"/>
    <d v="2021-11-26T00:00:00"/>
    <d v="2021-11-29T00:00:00"/>
    <x v="18"/>
    <n v="20252.84"/>
    <n v="0"/>
    <m/>
    <m/>
    <x v="1"/>
    <s v="ALV"/>
    <x v="6"/>
    <s v="ALV_COB"/>
    <s v="ALV"/>
    <s v="Construct"/>
    <n v="81.7"/>
    <s v="m²"/>
    <n v="1.3197068414871643E-2"/>
    <m/>
    <n v="1"/>
    <n v="15"/>
    <x v="29"/>
    <n v="20252.84"/>
    <n v="5"/>
    <m/>
    <n v="16"/>
    <x v="12"/>
    <n v="20252.84"/>
    <s v="executado"/>
    <s v="executado"/>
    <n v="0"/>
    <n v="0"/>
    <n v="0"/>
    <m/>
    <m/>
    <m/>
    <m/>
    <m/>
  </r>
  <r>
    <s v="1.6.3.2"/>
    <x v="10"/>
    <x v="28"/>
    <x v="101"/>
    <x v="1"/>
    <s v="COBERTURA"/>
    <n v="5"/>
    <d v="2021-11-29T00:00:00"/>
    <d v="2021-12-03T00:00:00"/>
    <d v="2021-11-08T00:00:00"/>
    <x v="17"/>
    <n v="0"/>
    <n v="0"/>
    <m/>
    <m/>
    <x v="1"/>
    <s v="HIDRO"/>
    <x v="6"/>
    <s v="HIDRO_COB"/>
    <s v="HIDRO"/>
    <s v="Construct"/>
    <s v=" -   "/>
    <m/>
    <n v="0"/>
    <m/>
    <n v="1"/>
    <n v="16"/>
    <x v="33"/>
    <n v="0"/>
    <n v="5"/>
    <m/>
    <n v="13"/>
    <x v="15"/>
    <n v="0"/>
    <s v="executado"/>
    <s v="executado"/>
    <n v="0"/>
    <n v="0"/>
    <n v="0"/>
    <m/>
    <m/>
    <m/>
    <m/>
    <m/>
  </r>
  <r>
    <s v="1.6.3.3"/>
    <x v="34"/>
    <x v="29"/>
    <x v="102"/>
    <x v="1"/>
    <s v="COBERTURA"/>
    <n v="5"/>
    <d v="2021-12-06T00:00:00"/>
    <d v="2021-12-10T00:00:00"/>
    <m/>
    <x v="0"/>
    <m/>
    <n v="0"/>
    <m/>
    <m/>
    <x v="1"/>
    <s v="TELHA"/>
    <x v="6"/>
    <s v="TELHA_COB"/>
    <s v="IMPTEL"/>
    <s v="Construct"/>
    <s v=" -   "/>
    <m/>
    <n v="0"/>
    <m/>
    <n v="1"/>
    <n v="17"/>
    <x v="34"/>
    <n v="0"/>
    <m/>
    <m/>
    <n v="0"/>
    <x v="0"/>
    <n v="0"/>
    <s v="executado"/>
    <s v="executado"/>
    <n v="0"/>
    <n v="0"/>
    <n v="0"/>
    <m/>
    <m/>
    <m/>
    <m/>
    <m/>
  </r>
  <r>
    <s v="1.6.3.4"/>
    <x v="35"/>
    <x v="30"/>
    <x v="103"/>
    <x v="1"/>
    <s v="COBERTURA"/>
    <n v="5"/>
    <d v="2021-12-13T00:00:00"/>
    <d v="2021-12-17T00:00:00"/>
    <d v="2021-12-13T00:00:00"/>
    <x v="20"/>
    <n v="51093.03"/>
    <n v="0"/>
    <m/>
    <m/>
    <x v="1"/>
    <s v="TELHA"/>
    <x v="6"/>
    <s v="TELHA_COB"/>
    <s v="TEL"/>
    <s v="Construct"/>
    <n v="243.7"/>
    <s v="m²"/>
    <n v="3.3293020259533443E-2"/>
    <m/>
    <n v="1"/>
    <n v="18"/>
    <x v="35"/>
    <n v="51093.03"/>
    <n v="5"/>
    <m/>
    <n v="18"/>
    <x v="16"/>
    <n v="51093.03"/>
    <s v="executado"/>
    <s v="executado"/>
    <n v="0"/>
    <n v="0"/>
    <n v="0"/>
    <m/>
    <m/>
    <m/>
    <m/>
    <m/>
  </r>
  <r>
    <s v="1.6.3.5"/>
    <x v="36"/>
    <x v="31"/>
    <x v="104"/>
    <x v="1"/>
    <s v="COBERTURA"/>
    <n v="5"/>
    <d v="2021-12-20T00:00:00"/>
    <d v="2021-12-24T00:00:00"/>
    <d v="2021-12-20T00:00:00"/>
    <x v="15"/>
    <n v="10092.26"/>
    <n v="0"/>
    <m/>
    <m/>
    <x v="1"/>
    <s v="ALV"/>
    <x v="6"/>
    <s v="ALV_COB"/>
    <s v="ALG"/>
    <s v="Construct"/>
    <n v="75.180000000000007"/>
    <s v="m"/>
    <n v="6.5762750152903249E-3"/>
    <m/>
    <n v="1"/>
    <n v="19"/>
    <x v="11"/>
    <n v="10092.26"/>
    <n v="5"/>
    <m/>
    <n v="19"/>
    <x v="9"/>
    <n v="10092.26"/>
    <s v="executado"/>
    <s v="executado"/>
    <n v="0"/>
    <n v="0"/>
    <n v="0"/>
    <m/>
    <m/>
    <m/>
    <m/>
    <m/>
  </r>
  <r>
    <n v="3"/>
    <x v="37"/>
    <x v="0"/>
    <x v="105"/>
    <x v="0"/>
    <m/>
    <n v="84"/>
    <d v="2021-11-26T00:00:00"/>
    <d v="2022-03-23T00:00:00"/>
    <m/>
    <x v="0"/>
    <m/>
    <n v="0"/>
    <m/>
    <m/>
    <x v="0"/>
    <m/>
    <x v="0"/>
    <s v="_"/>
    <n v="0"/>
    <n v="0"/>
    <m/>
    <m/>
    <n v="0"/>
    <m/>
    <m/>
    <n v="15"/>
    <x v="30"/>
    <n v="0"/>
    <m/>
    <m/>
    <n v="0"/>
    <x v="0"/>
    <n v="0"/>
    <d v="2022-01-03T00:00:00"/>
    <d v="2022-03-23T00:00:00"/>
    <n v="21"/>
    <n v="32"/>
    <n v="0"/>
    <m/>
    <m/>
    <m/>
    <m/>
    <m/>
  </r>
  <r>
    <s v="3.1"/>
    <x v="38"/>
    <x v="0"/>
    <x v="106"/>
    <x v="0"/>
    <m/>
    <n v="59"/>
    <d v="2021-11-26T00:00:00"/>
    <d v="2022-02-16T00:00:00"/>
    <m/>
    <x v="0"/>
    <m/>
    <n v="0"/>
    <m/>
    <m/>
    <x v="0"/>
    <m/>
    <x v="0"/>
    <s v="_"/>
    <n v="0"/>
    <n v="0"/>
    <m/>
    <m/>
    <n v="0"/>
    <m/>
    <m/>
    <n v="15"/>
    <x v="19"/>
    <n v="0"/>
    <m/>
    <m/>
    <n v="0"/>
    <x v="0"/>
    <n v="0"/>
    <d v="2022-01-03T00:00:00"/>
    <d v="2022-02-16T00:00:00"/>
    <n v="21"/>
    <n v="27"/>
    <n v="0"/>
    <m/>
    <m/>
    <m/>
    <m/>
    <m/>
  </r>
  <r>
    <s v="3.1.4.1"/>
    <x v="39"/>
    <x v="32"/>
    <x v="107"/>
    <x v="1"/>
    <s v="FACHADA"/>
    <n v="5"/>
    <d v="2021-11-26T00:00:00"/>
    <d v="2021-12-02T00:00:00"/>
    <m/>
    <x v="0"/>
    <n v="14038.64"/>
    <n v="0"/>
    <m/>
    <m/>
    <x v="0"/>
    <s v="REVEXT"/>
    <x v="7"/>
    <s v="REVEXT_PANO1"/>
    <s v="REBEXT"/>
    <s v="Construct"/>
    <n v="126.22"/>
    <s v="m²"/>
    <n v="9.1477981622208864E-3"/>
    <m/>
    <n v="1"/>
    <n v="15"/>
    <x v="33"/>
    <n v="14038.64"/>
    <m/>
    <m/>
    <n v="0"/>
    <x v="0"/>
    <n v="0"/>
    <d v="2022-01-03T00:00:00"/>
    <d v="2022-01-07T00:00:00"/>
    <n v="21"/>
    <n v="21"/>
    <n v="14038.64"/>
    <m/>
    <m/>
    <m/>
    <m/>
    <m/>
  </r>
  <r>
    <s v="3.1.4.2"/>
    <x v="40"/>
    <x v="33"/>
    <x v="108"/>
    <x v="1"/>
    <s v="FACHADA"/>
    <n v="5"/>
    <d v="2022-02-10T00:00:00"/>
    <d v="2022-02-16T00:00:00"/>
    <m/>
    <x v="0"/>
    <n v="6273.9"/>
    <n v="0"/>
    <m/>
    <m/>
    <x v="0"/>
    <s v="REVEXT"/>
    <x v="7"/>
    <s v="REVEXT_PANO1"/>
    <s v="PINTEXT"/>
    <s v="Construct"/>
    <n v="126.22"/>
    <s v="m²"/>
    <n v="4.0881717096497676E-3"/>
    <m/>
    <m/>
    <n v="26"/>
    <x v="19"/>
    <n v="0"/>
    <m/>
    <m/>
    <n v="0"/>
    <x v="0"/>
    <n v="0"/>
    <d v="2022-02-10T00:00:00"/>
    <d v="2022-02-16T00:00:00"/>
    <n v="26"/>
    <n v="27"/>
    <n v="6273.9"/>
    <m/>
    <m/>
    <m/>
    <m/>
    <m/>
  </r>
  <r>
    <s v="3.2"/>
    <x v="41"/>
    <x v="0"/>
    <x v="109"/>
    <x v="0"/>
    <m/>
    <n v="59"/>
    <d v="2021-12-03T00:00:00"/>
    <d v="2022-02-23T00:00:00"/>
    <m/>
    <x v="0"/>
    <m/>
    <n v="0"/>
    <m/>
    <m/>
    <x v="0"/>
    <m/>
    <x v="0"/>
    <s v="_"/>
    <n v="0"/>
    <n v="0"/>
    <m/>
    <m/>
    <n v="0"/>
    <m/>
    <m/>
    <n v="16"/>
    <x v="20"/>
    <n v="0"/>
    <m/>
    <m/>
    <n v="0"/>
    <x v="0"/>
    <n v="0"/>
    <d v="2022-01-03T00:00:00"/>
    <d v="2022-02-23T00:00:00"/>
    <n v="21"/>
    <n v="28"/>
    <n v="0"/>
    <m/>
    <m/>
    <m/>
    <m/>
    <m/>
  </r>
  <r>
    <s v="3.2.4.1"/>
    <x v="39"/>
    <x v="32"/>
    <x v="110"/>
    <x v="1"/>
    <s v="FACHADA"/>
    <n v="5"/>
    <d v="2021-12-03T00:00:00"/>
    <d v="2021-12-09T00:00:00"/>
    <m/>
    <x v="0"/>
    <n v="15850.42"/>
    <n v="0"/>
    <m/>
    <m/>
    <x v="0"/>
    <s v="REVEXT"/>
    <x v="8"/>
    <s v="REVEXT_PANO2"/>
    <s v="REBEXT"/>
    <s v="Construct"/>
    <n v="142.51"/>
    <s v="m²"/>
    <n v="1.0328382446335911E-2"/>
    <m/>
    <n v="1"/>
    <n v="16"/>
    <x v="34"/>
    <n v="15850.42"/>
    <m/>
    <m/>
    <n v="0"/>
    <x v="0"/>
    <n v="0"/>
    <d v="2022-01-03T00:00:00"/>
    <d v="2022-01-07T00:00:00"/>
    <n v="21"/>
    <n v="21"/>
    <n v="15850.42"/>
    <m/>
    <m/>
    <m/>
    <m/>
    <m/>
  </r>
  <r>
    <s v="3.2.4.2"/>
    <x v="40"/>
    <x v="33"/>
    <x v="111"/>
    <x v="1"/>
    <s v="FACHADA"/>
    <n v="5"/>
    <d v="2022-02-17T00:00:00"/>
    <d v="2022-02-23T00:00:00"/>
    <m/>
    <x v="0"/>
    <n v="7083.6"/>
    <n v="0"/>
    <m/>
    <m/>
    <x v="0"/>
    <s v="REVEXT"/>
    <x v="8"/>
    <s v="REVEXT_PANO2"/>
    <s v="PINTEXT"/>
    <s v="Construct"/>
    <n v="142.51"/>
    <s v="m²"/>
    <n v="4.6157849379931297E-3"/>
    <m/>
    <m/>
    <n v="27"/>
    <x v="20"/>
    <n v="0"/>
    <m/>
    <m/>
    <n v="0"/>
    <x v="0"/>
    <n v="0"/>
    <d v="2022-02-17T00:00:00"/>
    <d v="2022-02-23T00:00:00"/>
    <n v="27"/>
    <n v="28"/>
    <n v="7083.6"/>
    <m/>
    <m/>
    <m/>
    <m/>
    <m/>
  </r>
  <r>
    <s v="3.3"/>
    <x v="42"/>
    <x v="0"/>
    <x v="112"/>
    <x v="0"/>
    <m/>
    <n v="59"/>
    <d v="2021-12-10T00:00:00"/>
    <d v="2022-03-02T00:00:00"/>
    <m/>
    <x v="0"/>
    <m/>
    <n v="0"/>
    <m/>
    <m/>
    <x v="0"/>
    <m/>
    <x v="0"/>
    <s v="_"/>
    <n v="0"/>
    <n v="0"/>
    <m/>
    <m/>
    <n v="0"/>
    <m/>
    <m/>
    <n v="17"/>
    <x v="21"/>
    <n v="0"/>
    <m/>
    <m/>
    <n v="0"/>
    <x v="0"/>
    <n v="0"/>
    <d v="2022-01-10T00:00:00"/>
    <d v="2022-03-02T00:00:00"/>
    <n v="22"/>
    <n v="29"/>
    <n v="0"/>
    <m/>
    <m/>
    <m/>
    <m/>
    <m/>
  </r>
  <r>
    <s v="3.3.4.1"/>
    <x v="39"/>
    <x v="32"/>
    <x v="113"/>
    <x v="1"/>
    <s v="FACHADA"/>
    <n v="5"/>
    <d v="2021-12-10T00:00:00"/>
    <d v="2021-12-16T00:00:00"/>
    <m/>
    <x v="0"/>
    <n v="12614.4"/>
    <n v="0"/>
    <m/>
    <m/>
    <x v="0"/>
    <s v="REVEXT"/>
    <x v="9"/>
    <s v="REVEXT_PANO3"/>
    <s v="REBEXT"/>
    <s v="Construct"/>
    <n v="113.41"/>
    <s v="m²"/>
    <n v="8.2197410245949138E-3"/>
    <m/>
    <n v="1"/>
    <n v="17"/>
    <x v="35"/>
    <n v="12614.4"/>
    <m/>
    <m/>
    <n v="0"/>
    <x v="0"/>
    <n v="0"/>
    <d v="2022-01-10T00:00:00"/>
    <d v="2022-01-14T00:00:00"/>
    <n v="22"/>
    <n v="22"/>
    <n v="12614.4"/>
    <m/>
    <m/>
    <m/>
    <m/>
    <m/>
  </r>
  <r>
    <s v="3.3.4.2"/>
    <x v="40"/>
    <x v="33"/>
    <x v="114"/>
    <x v="1"/>
    <s v="FACHADA"/>
    <n v="5"/>
    <d v="2022-02-24T00:00:00"/>
    <d v="2022-03-02T00:00:00"/>
    <m/>
    <x v="0"/>
    <n v="5637.41"/>
    <n v="0"/>
    <m/>
    <m/>
    <x v="0"/>
    <s v="REVEXT"/>
    <x v="9"/>
    <s v="REVEXT_PANO3"/>
    <s v="PINTEXT"/>
    <s v="Construct"/>
    <n v="113.41"/>
    <s v="m²"/>
    <n v="3.6734248358591464E-3"/>
    <m/>
    <m/>
    <n v="28"/>
    <x v="21"/>
    <n v="0"/>
    <m/>
    <m/>
    <n v="0"/>
    <x v="0"/>
    <n v="0"/>
    <d v="2022-02-24T00:00:00"/>
    <d v="2022-03-02T00:00:00"/>
    <n v="28"/>
    <n v="29"/>
    <n v="5637.41"/>
    <m/>
    <m/>
    <m/>
    <m/>
    <m/>
  </r>
  <r>
    <s v="3.4"/>
    <x v="43"/>
    <x v="0"/>
    <x v="115"/>
    <x v="0"/>
    <m/>
    <n v="59"/>
    <d v="2021-12-17T00:00:00"/>
    <d v="2022-03-09T00:00:00"/>
    <m/>
    <x v="0"/>
    <m/>
    <n v="0"/>
    <m/>
    <m/>
    <x v="0"/>
    <m/>
    <x v="0"/>
    <s v="_"/>
    <n v="0"/>
    <n v="0"/>
    <m/>
    <m/>
    <n v="0"/>
    <m/>
    <m/>
    <n v="18"/>
    <x v="22"/>
    <n v="0"/>
    <m/>
    <m/>
    <n v="0"/>
    <x v="0"/>
    <n v="0"/>
    <d v="2022-01-10T00:00:00"/>
    <d v="2022-03-09T00:00:00"/>
    <n v="22"/>
    <n v="30"/>
    <n v="0"/>
    <m/>
    <m/>
    <m/>
    <m/>
    <m/>
  </r>
  <r>
    <s v="3.4.4.1"/>
    <x v="39"/>
    <x v="32"/>
    <x v="116"/>
    <x v="1"/>
    <s v="FACHADA"/>
    <n v="5"/>
    <d v="2021-12-17T00:00:00"/>
    <d v="2021-12-23T00:00:00"/>
    <m/>
    <x v="0"/>
    <n v="13885.55"/>
    <n v="0"/>
    <m/>
    <m/>
    <x v="0"/>
    <s v="REVEXT"/>
    <x v="10"/>
    <s v="REVEXT_PANO4"/>
    <s v="REBEXT"/>
    <s v="Construct"/>
    <n v="124.84"/>
    <s v="m²"/>
    <n v="9.048042315454077E-3"/>
    <m/>
    <n v="1"/>
    <n v="18"/>
    <x v="11"/>
    <n v="13885.55"/>
    <m/>
    <m/>
    <n v="0"/>
    <x v="0"/>
    <n v="0"/>
    <d v="2022-01-10T00:00:00"/>
    <d v="2022-01-14T00:00:00"/>
    <n v="22"/>
    <n v="22"/>
    <n v="13885.55"/>
    <m/>
    <m/>
    <m/>
    <m/>
    <m/>
  </r>
  <r>
    <s v="3.4.4.2"/>
    <x v="40"/>
    <x v="33"/>
    <x v="117"/>
    <x v="1"/>
    <s v="FACHADA"/>
    <n v="5"/>
    <d v="2022-03-03T00:00:00"/>
    <d v="2022-03-09T00:00:00"/>
    <m/>
    <x v="0"/>
    <n v="6205.49"/>
    <n v="0"/>
    <m/>
    <m/>
    <x v="0"/>
    <s v="REVEXT"/>
    <x v="10"/>
    <s v="REVEXT_PANO4"/>
    <s v="PINTEXT"/>
    <s v="Construct"/>
    <n v="124.84"/>
    <s v="m²"/>
    <n v="4.0435946799462115E-3"/>
    <m/>
    <m/>
    <n v="29"/>
    <x v="22"/>
    <n v="0"/>
    <m/>
    <m/>
    <n v="0"/>
    <x v="0"/>
    <n v="0"/>
    <d v="2022-03-03T00:00:00"/>
    <d v="2022-03-09T00:00:00"/>
    <n v="29"/>
    <n v="30"/>
    <n v="6205.49"/>
    <m/>
    <m/>
    <m/>
    <m/>
    <m/>
  </r>
  <r>
    <s v="3.5"/>
    <x v="44"/>
    <x v="0"/>
    <x v="118"/>
    <x v="0"/>
    <m/>
    <n v="59"/>
    <d v="2021-12-24T00:00:00"/>
    <d v="2022-03-16T00:00:00"/>
    <m/>
    <x v="0"/>
    <m/>
    <n v="0"/>
    <m/>
    <m/>
    <x v="0"/>
    <m/>
    <x v="0"/>
    <s v="_"/>
    <n v="0"/>
    <n v="0"/>
    <m/>
    <m/>
    <n v="0"/>
    <m/>
    <m/>
    <n v="19"/>
    <x v="23"/>
    <n v="0"/>
    <m/>
    <m/>
    <n v="0"/>
    <x v="0"/>
    <n v="0"/>
    <d v="2022-01-17T00:00:00"/>
    <d v="2022-03-16T00:00:00"/>
    <n v="23"/>
    <n v="31"/>
    <n v="0"/>
    <m/>
    <m/>
    <m/>
    <m/>
    <m/>
  </r>
  <r>
    <s v="3.5.4.1"/>
    <x v="39"/>
    <x v="32"/>
    <x v="119"/>
    <x v="1"/>
    <s v="FACHADA"/>
    <n v="5"/>
    <d v="2021-12-24T00:00:00"/>
    <d v="2021-12-30T00:00:00"/>
    <m/>
    <x v="0"/>
    <n v="15397.94"/>
    <n v="0"/>
    <m/>
    <m/>
    <x v="0"/>
    <s v="REVEXT"/>
    <x v="11"/>
    <s v="REVEXT_PANO5"/>
    <s v="REBEXT"/>
    <s v="Construct"/>
    <n v="138.44"/>
    <s v="m²"/>
    <n v="1.0033539376605389E-2"/>
    <m/>
    <n v="1"/>
    <n v="19"/>
    <x v="12"/>
    <n v="15397.94"/>
    <m/>
    <m/>
    <n v="0"/>
    <x v="0"/>
    <n v="0"/>
    <d v="2022-01-17T00:00:00"/>
    <d v="2022-01-21T00:00:00"/>
    <n v="23"/>
    <n v="23"/>
    <n v="15397.94"/>
    <m/>
    <m/>
    <m/>
    <m/>
    <m/>
  </r>
  <r>
    <s v="3.5.4.2"/>
    <x v="40"/>
    <x v="33"/>
    <x v="120"/>
    <x v="1"/>
    <s v="FACHADA"/>
    <n v="5"/>
    <d v="2022-03-10T00:00:00"/>
    <d v="2022-03-16T00:00:00"/>
    <m/>
    <x v="0"/>
    <n v="6881.38"/>
    <n v="0"/>
    <m/>
    <m/>
    <x v="0"/>
    <s v="REVEXT"/>
    <x v="11"/>
    <s v="REVEXT_PANO5"/>
    <s v="PINTEXT"/>
    <s v="Construct"/>
    <n v="138.44"/>
    <s v="m²"/>
    <n v="4.48401521212479E-3"/>
    <m/>
    <m/>
    <n v="30"/>
    <x v="23"/>
    <n v="0"/>
    <m/>
    <m/>
    <n v="0"/>
    <x v="0"/>
    <n v="0"/>
    <d v="2022-03-10T00:00:00"/>
    <d v="2022-03-16T00:00:00"/>
    <n v="30"/>
    <n v="31"/>
    <n v="6881.38"/>
    <m/>
    <m/>
    <m/>
    <m/>
    <m/>
  </r>
  <r>
    <s v="3.6"/>
    <x v="45"/>
    <x v="0"/>
    <x v="121"/>
    <x v="0"/>
    <m/>
    <n v="59"/>
    <d v="2021-12-31T00:00:00"/>
    <d v="2022-03-23T00:00:00"/>
    <m/>
    <x v="0"/>
    <m/>
    <n v="0"/>
    <m/>
    <m/>
    <x v="0"/>
    <m/>
    <x v="0"/>
    <s v="_"/>
    <n v="0"/>
    <n v="0"/>
    <m/>
    <m/>
    <n v="0"/>
    <m/>
    <m/>
    <n v="20"/>
    <x v="30"/>
    <n v="0"/>
    <m/>
    <m/>
    <n v="0"/>
    <x v="0"/>
    <n v="0"/>
    <d v="2022-01-17T00:00:00"/>
    <d v="2022-03-23T00:00:00"/>
    <n v="23"/>
    <n v="32"/>
    <n v="0"/>
    <m/>
    <m/>
    <m/>
    <m/>
    <m/>
  </r>
  <r>
    <s v="3.6.4.1"/>
    <x v="39"/>
    <x v="32"/>
    <x v="122"/>
    <x v="1"/>
    <s v="FACHADA"/>
    <n v="5"/>
    <d v="2021-12-31T00:00:00"/>
    <d v="2022-01-06T00:00:00"/>
    <m/>
    <x v="0"/>
    <n v="11105.57"/>
    <n v="0"/>
    <m/>
    <m/>
    <x v="0"/>
    <s v="REVEXT"/>
    <x v="12"/>
    <s v="REVEXT_PANO6"/>
    <s v="REBEXT"/>
    <s v="Construct"/>
    <n v="99.85"/>
    <s v="m²"/>
    <n v="7.2365637153182505E-3"/>
    <m/>
    <n v="0.2"/>
    <n v="20"/>
    <x v="13"/>
    <n v="2221.114"/>
    <m/>
    <m/>
    <n v="0"/>
    <x v="0"/>
    <n v="0"/>
    <d v="2022-01-17T00:00:00"/>
    <d v="2022-01-21T00:00:00"/>
    <n v="23"/>
    <n v="23"/>
    <n v="11105.57"/>
    <m/>
    <m/>
    <m/>
    <m/>
    <m/>
  </r>
  <r>
    <s v="3.6.4.2"/>
    <x v="40"/>
    <x v="33"/>
    <x v="123"/>
    <x v="1"/>
    <s v="FACHADA"/>
    <n v="5"/>
    <d v="2022-03-17T00:00:00"/>
    <d v="2022-03-23T00:00:00"/>
    <m/>
    <x v="0"/>
    <n v="4963.1099999999997"/>
    <n v="0"/>
    <m/>
    <m/>
    <x v="0"/>
    <s v="REVEXT"/>
    <x v="12"/>
    <s v="REVEXT_PANO6"/>
    <s v="PINTEXT"/>
    <s v="Construct"/>
    <n v="99.85"/>
    <s v="m²"/>
    <n v="3.2340403726358181E-3"/>
    <m/>
    <m/>
    <n v="31"/>
    <x v="30"/>
    <n v="0"/>
    <m/>
    <m/>
    <n v="0"/>
    <x v="0"/>
    <n v="0"/>
    <d v="2022-03-17T00:00:00"/>
    <d v="2022-03-23T00:00:00"/>
    <n v="31"/>
    <n v="32"/>
    <n v="4963.1099999999997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3D6BF5-1F6F-43B1-9992-4EFF3C40AA3F}" name="Tabela dinâmica1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5:C11" firstHeaderRow="0" firstDataRow="1" firstDataCol="1" rowPageCount="1" colPageCount="1"/>
  <pivotFields count="45">
    <pivotField showAll="0"/>
    <pivotField axis="axisPage" showAll="0">
      <items count="47">
        <item x="27"/>
        <item x="36"/>
        <item x="8"/>
        <item x="14"/>
        <item x="33"/>
        <item x="29"/>
        <item x="6"/>
        <item x="20"/>
        <item x="16"/>
        <item x="24"/>
        <item x="3"/>
        <item x="9"/>
        <item x="0"/>
        <item x="37"/>
        <item x="17"/>
        <item x="18"/>
        <item x="1"/>
        <item x="15"/>
        <item x="13"/>
        <item x="34"/>
        <item x="5"/>
        <item x="10"/>
        <item x="2"/>
        <item x="22"/>
        <item x="26"/>
        <item x="38"/>
        <item x="41"/>
        <item x="42"/>
        <item x="43"/>
        <item x="44"/>
        <item x="45"/>
        <item x="7"/>
        <item x="30"/>
        <item x="31"/>
        <item x="32"/>
        <item x="40"/>
        <item x="28"/>
        <item x="21"/>
        <item x="25"/>
        <item x="23"/>
        <item x="39"/>
        <item x="11"/>
        <item x="19"/>
        <item x="12"/>
        <item x="35"/>
        <item x="4"/>
        <item t="default"/>
      </items>
    </pivotField>
    <pivotField showAll="0"/>
    <pivotField showAll="0"/>
    <pivotField showAll="0"/>
    <pivotField showAll="0"/>
    <pivotField dataField="1" numFmtId="168" showAll="0"/>
    <pivotField numFmtId="14" showAll="0"/>
    <pivotField numFmtId="14" showAll="0"/>
    <pivotField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8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73" showAll="0"/>
    <pivotField showAll="0"/>
    <pivotField showAll="0"/>
    <pivotField showAll="0"/>
    <pivotField axis="axisRow" showAll="0">
      <items count="37">
        <item x="2"/>
        <item x="3"/>
        <item x="4"/>
        <item x="5"/>
        <item x="1"/>
        <item x="7"/>
        <item x="8"/>
        <item x="26"/>
        <item x="27"/>
        <item x="32"/>
        <item x="9"/>
        <item x="28"/>
        <item x="10"/>
        <item x="29"/>
        <item x="33"/>
        <item x="34"/>
        <item x="35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30"/>
        <item x="24"/>
        <item x="25"/>
        <item x="31"/>
        <item x="6"/>
        <item x="0"/>
        <item t="default"/>
      </items>
    </pivotField>
    <pivotField showAll="0"/>
    <pivotField showAll="0"/>
    <pivotField showAll="0"/>
    <pivotField showAll="0"/>
    <pivotField showAll="0"/>
    <pivotField numFmtId="4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7"/>
  </rowFields>
  <rowItems count="6"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21" hier="-1"/>
  </pageFields>
  <dataFields count="2">
    <dataField name="Soma de Duração" fld="6" baseField="0" baseItem="0" numFmtId="166"/>
    <dataField name="Contagem de Localização" fld="17" subtotal="count" baseField="0" baseItem="0"/>
  </dataFields>
  <formats count="18">
    <format dxfId="39">
      <pivotArea outline="0" collapsedLevelsAreSubtotals="1" fieldPosition="0"/>
    </format>
    <format dxfId="38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37">
      <pivotArea dataOnly="0" labelOnly="1" grandCol="1" outline="0" fieldPosition="0"/>
    </format>
    <format dxfId="36">
      <pivotArea outline="0" collapsedLevelsAreSubtotals="1" fieldPosition="0"/>
    </format>
    <format dxfId="35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34">
      <pivotArea dataOnly="0" labelOnly="1" grandCol="1" outline="0" fieldPosition="0"/>
    </format>
    <format dxfId="33">
      <pivotArea outline="0" collapsedLevelsAreSubtotals="1" fieldPosition="0"/>
    </format>
    <format dxfId="32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31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30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29">
      <pivotArea outline="0" collapsedLevelsAreSubtotals="1" fieldPosition="0"/>
    </format>
    <format dxfId="28">
      <pivotArea outline="0" collapsedLevelsAreSubtotals="1" fieldPosition="0"/>
    </format>
    <format dxfId="27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26">
      <pivotArea dataOnly="0" labelOnly="1" grandCol="1" outline="0" fieldPosition="0"/>
    </format>
    <format dxfId="25">
      <pivotArea field="1" type="button" dataOnly="0" labelOnly="1" outline="0" axis="axisPage" fieldPosition="0"/>
    </format>
    <format dxfId="24">
      <pivotArea field="27" type="button" dataOnly="0" labelOnly="1" outline="0" axis="axisRow" fieldPosition="0"/>
    </format>
    <format dxfId="23">
      <pivotArea dataOnly="0" labelOnly="1" fieldPosition="0">
        <references count="1">
          <reference field="27" count="5">
            <x v="10"/>
            <x v="11"/>
            <x v="12"/>
            <x v="13"/>
            <x v="14"/>
          </reference>
        </references>
      </pivotArea>
    </format>
    <format dxfId="2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D8E70C-CDDB-4BA2-8988-E4FA985FF744}" name="Tabela dinâmica2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16:C22" firstHeaderRow="0" firstDataRow="1" firstDataCol="1" rowPageCount="1" colPageCount="1"/>
  <pivotFields count="45">
    <pivotField showAll="0"/>
    <pivotField axis="axisPage" showAll="0">
      <items count="47">
        <item x="27"/>
        <item x="36"/>
        <item x="8"/>
        <item x="14"/>
        <item x="33"/>
        <item x="29"/>
        <item x="6"/>
        <item x="20"/>
        <item x="16"/>
        <item x="24"/>
        <item x="3"/>
        <item x="9"/>
        <item x="0"/>
        <item x="37"/>
        <item x="17"/>
        <item x="18"/>
        <item x="1"/>
        <item x="15"/>
        <item x="13"/>
        <item x="34"/>
        <item x="5"/>
        <item x="10"/>
        <item x="2"/>
        <item x="22"/>
        <item x="26"/>
        <item x="38"/>
        <item x="41"/>
        <item x="42"/>
        <item x="43"/>
        <item x="44"/>
        <item x="45"/>
        <item x="7"/>
        <item x="30"/>
        <item x="31"/>
        <item x="32"/>
        <item x="40"/>
        <item x="28"/>
        <item x="21"/>
        <item x="25"/>
        <item x="23"/>
        <item x="39"/>
        <item x="11"/>
        <item x="19"/>
        <item x="12"/>
        <item x="35"/>
        <item x="4"/>
        <item t="default"/>
      </items>
    </pivotField>
    <pivotField showAll="0"/>
    <pivotField showAll="0"/>
    <pivotField showAll="0"/>
    <pivotField showAll="0"/>
    <pivotField numFmtId="168" showAll="0"/>
    <pivotField numFmtId="14" showAll="0"/>
    <pivotField numFmtId="14" showAll="0"/>
    <pivotField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8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73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8">
        <item x="0"/>
        <item x="1"/>
        <item x="2"/>
        <item x="3"/>
        <item x="4"/>
        <item x="5"/>
        <item x="6"/>
        <item x="10"/>
        <item x="11"/>
        <item x="14"/>
        <item x="15"/>
        <item x="8"/>
        <item x="13"/>
        <item x="12"/>
        <item x="7"/>
        <item x="16"/>
        <item x="9"/>
        <item t="default"/>
      </items>
    </pivotField>
    <pivotField numFmtId="4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32"/>
  </rowFields>
  <rowItems count="6"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21" hier="-1"/>
  </pageFields>
  <dataFields count="2">
    <dataField name="Soma de DURAÇÃO EXE" fld="29" baseField="0" baseItem="0"/>
    <dataField name="Contagem de Localização" fld="17" subtotal="count" baseField="0" baseItem="0"/>
  </dataFields>
  <formats count="5">
    <format dxfId="44">
      <pivotArea grandCol="1" outline="0" collapsedLevelsAreSubtotals="1" fieldPosition="0"/>
    </format>
    <format dxfId="43">
      <pivotArea field="1" type="button" dataOnly="0" labelOnly="1" outline="0" axis="axisPage" fieldPosition="0"/>
    </format>
    <format dxfId="42">
      <pivotArea field="32" type="button" dataOnly="0" labelOnly="1" outline="0" axis="axisRow" fieldPosition="0"/>
    </format>
    <format dxfId="41">
      <pivotArea dataOnly="0" labelOnly="1" fieldPosition="0">
        <references count="1">
          <reference field="32" count="5">
            <x v="10"/>
            <x v="11"/>
            <x v="12"/>
            <x v="13"/>
            <x v="14"/>
          </reference>
        </references>
      </pivotArea>
    </format>
    <format dxfId="4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B4028A-F005-4702-B328-2039C7AD53D4}" name="Tabela dinâmica3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I3:J23" firstHeaderRow="1" firstDataRow="1" firstDataCol="1"/>
  <pivotFields count="35"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numFmtId="8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4" showAll="0"/>
    <pivotField showAll="0"/>
    <pivotField showAll="0"/>
    <pivotField showAll="0"/>
    <pivotField axis="axisRow" showAll="0" sortType="ascending">
      <items count="22">
        <item x="0"/>
        <item m="1" x="19"/>
        <item m="1" x="20"/>
        <item x="18"/>
        <item x="2"/>
        <item x="3"/>
        <item x="4"/>
        <item x="14"/>
        <item x="5"/>
        <item x="6"/>
        <item x="7"/>
        <item x="8"/>
        <item x="9"/>
        <item x="15"/>
        <item x="10"/>
        <item x="12"/>
        <item x="11"/>
        <item x="1"/>
        <item x="13"/>
        <item x="16"/>
        <item x="17"/>
        <item t="default"/>
      </items>
    </pivotField>
    <pivotField dataField="1" showAll="0"/>
  </pivotFields>
  <rowFields count="1">
    <field x="33"/>
  </rowFields>
  <rowItems count="20">
    <i>
      <x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oma de CUSTO REPLAN" fld="34" baseField="0" baseItem="0" numFmtId="164"/>
  </dataFields>
  <formats count="6"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33" type="button" dataOnly="0" labelOnly="1" outline="0" axis="axisRow" fieldPosition="0"/>
    </format>
    <format dxfId="11">
      <pivotArea dataOnly="0" labelOnly="1" outline="0" axis="axisValues" fieldPosition="0"/>
    </format>
    <format dxfId="10">
      <pivotArea dataOnly="0" labelOnly="1" fieldPosition="0">
        <references count="1">
          <reference field="33" count="0"/>
        </references>
      </pivotArea>
    </format>
    <format dxfId="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1769A0-E259-4917-AFB8-74F1FE5C7280}" name="Tabela dinâmica2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D3:E21" firstHeaderRow="1" firstDataRow="1" firstDataCol="1"/>
  <pivotFields count="35"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numFmtId="8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18">
        <item x="0"/>
        <item x="1"/>
        <item x="2"/>
        <item x="3"/>
        <item x="4"/>
        <item x="5"/>
        <item x="6"/>
        <item x="10"/>
        <item x="11"/>
        <item x="14"/>
        <item x="15"/>
        <item x="8"/>
        <item x="13"/>
        <item x="12"/>
        <item x="7"/>
        <item x="16"/>
        <item x="9"/>
        <item t="default"/>
      </items>
    </pivotField>
    <pivotField dataField="1" numFmtId="44" showAll="0"/>
    <pivotField showAll="0"/>
    <pivotField showAll="0"/>
    <pivotField showAll="0"/>
    <pivotField showAll="0"/>
    <pivotField showAll="0"/>
  </pivotFields>
  <rowFields count="1">
    <field x="28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oma de CUSTO EXECUTADO" fld="29" baseField="0" baseItem="0" numFmtId="164"/>
  </dataFields>
  <formats count="6"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28" type="button" dataOnly="0" labelOnly="1" outline="0" axis="axisRow" fieldPosition="0"/>
    </format>
    <format dxfId="17">
      <pivotArea dataOnly="0" labelOnly="1" grandRow="1" outline="0" fieldPosition="0"/>
    </format>
    <format dxfId="16">
      <pivotArea dataOnly="0" labelOnly="1" outline="0" axis="axisValues" fieldPosition="0"/>
    </format>
    <format dxfId="15">
      <pivotArea dataOnly="0" labelOnly="1" fieldPosition="0">
        <references count="1">
          <reference field="2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D0EF83-267E-4484-8B56-01F26D8045BA}" name="Tabela dinâ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40" firstHeaderRow="1" firstDataRow="1" firstDataCol="1"/>
  <pivotFields count="35"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dataField="1" showAll="0"/>
    <pivotField numFmtId="8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7">
        <item x="2"/>
        <item x="3"/>
        <item x="4"/>
        <item x="5"/>
        <item x="1"/>
        <item x="7"/>
        <item x="8"/>
        <item x="26"/>
        <item x="27"/>
        <item x="32"/>
        <item x="9"/>
        <item x="28"/>
        <item x="10"/>
        <item x="29"/>
        <item x="33"/>
        <item x="34"/>
        <item x="35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30"/>
        <item x="24"/>
        <item x="25"/>
        <item x="31"/>
        <item x="6"/>
        <item x="0"/>
        <item t="default"/>
      </items>
    </pivotField>
    <pivotField showAll="0"/>
    <pivotField showAll="0"/>
    <pivotField showAll="0"/>
    <pivotField numFmtId="44" showAll="0"/>
    <pivotField showAll="0"/>
    <pivotField showAll="0"/>
    <pivotField showAll="0"/>
    <pivotField showAll="0"/>
    <pivotField showAll="0"/>
  </pivotFields>
  <rowFields count="1">
    <field x="25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oma de  Custo " fld="11" baseField="23" baseItem="0"/>
  </dataFields>
  <formats count="1">
    <format dxfId="2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F566F6-84E1-416D-A0D4-D4EF055B3096}" name="Tabela dinâmica13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gridDropZones="1">
  <location ref="A4:D103" firstHeaderRow="2" firstDataRow="2" firstDataCol="3" rowPageCount="2" colPageCount="1"/>
  <pivotFields count="35">
    <pivotField compact="0" outline="0" showAll="0"/>
    <pivotField compact="0" outline="0" showAll="0"/>
    <pivotField axis="axisRow" compact="0" outline="0" showAll="0">
      <items count="3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h="1" x="25"/>
        <item x="26"/>
        <item x="27"/>
        <item x="28"/>
        <item x="29"/>
        <item x="30"/>
        <item x="31"/>
        <item x="32"/>
        <item x="33"/>
        <item x="0"/>
        <item t="default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x="2"/>
        <item h="1" x="1"/>
        <item x="3"/>
        <item t="default"/>
      </items>
    </pivotField>
    <pivotField compact="0" outline="0" showAll="0"/>
    <pivotField axis="axisRow" compact="0" outline="0" showAll="0" defaultSubtotal="0">
      <items count="13">
        <item x="6"/>
        <item x="1"/>
        <item x="7"/>
        <item x="8"/>
        <item x="9"/>
        <item x="10"/>
        <item x="11"/>
        <item x="12"/>
        <item x="2"/>
        <item x="3"/>
        <item x="4"/>
        <item x="5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37">
        <item x="1"/>
        <item x="2"/>
        <item x="17"/>
        <item x="21"/>
        <item x="28"/>
        <item x="32"/>
        <item x="22"/>
        <item x="29"/>
        <item x="3"/>
        <item x="33"/>
        <item x="4"/>
        <item x="35"/>
        <item x="18"/>
        <item x="5"/>
        <item x="6"/>
        <item x="23"/>
        <item x="7"/>
        <item x="30"/>
        <item x="8"/>
        <item x="9"/>
        <item x="10"/>
        <item x="24"/>
        <item x="19"/>
        <item x="34"/>
        <item x="25"/>
        <item x="11"/>
        <item x="12"/>
        <item x="14"/>
        <item x="13"/>
        <item x="26"/>
        <item x="15"/>
        <item x="16"/>
        <item x="20"/>
        <item x="27"/>
        <item x="31"/>
        <item x="0"/>
        <item t="default"/>
      </items>
    </pivotField>
    <pivotField axis="axisRow" compact="0" outline="0" showAll="0">
      <items count="42">
        <item x="1"/>
        <item x="32"/>
        <item x="23"/>
        <item x="27"/>
        <item x="3"/>
        <item x="37"/>
        <item x="4"/>
        <item x="40"/>
        <item x="16"/>
        <item x="5"/>
        <item x="24"/>
        <item x="17"/>
        <item x="6"/>
        <item x="28"/>
        <item x="7"/>
        <item x="34"/>
        <item x="8"/>
        <item x="35"/>
        <item x="18"/>
        <item x="9"/>
        <item x="36"/>
        <item x="29"/>
        <item x="19"/>
        <item x="38"/>
        <item x="10"/>
        <item x="39"/>
        <item x="11"/>
        <item x="13"/>
        <item x="33"/>
        <item x="20"/>
        <item x="12"/>
        <item x="30"/>
        <item x="14"/>
        <item x="2"/>
        <item x="21"/>
        <item x="15"/>
        <item x="25"/>
        <item x="22"/>
        <item x="31"/>
        <item x="26"/>
        <item x="0"/>
        <item t="default"/>
      </items>
    </pivotField>
    <pivotField compact="0" outline="0" showAll="0"/>
    <pivotField compact="0" outline="0" showAll="0"/>
    <pivotField dataField="1" compact="0" outline="0" showAll="0"/>
  </pivotFields>
  <rowFields count="3">
    <field x="2"/>
    <field x="17"/>
    <field x="31"/>
  </rowFields>
  <rowItems count="98">
    <i>
      <x v="9"/>
      <x v="10"/>
      <x v="2"/>
    </i>
    <i r="1">
      <x v="11"/>
      <x v="3"/>
    </i>
    <i t="default">
      <x v="9"/>
    </i>
    <i>
      <x v="10"/>
      <x v="8"/>
      <x/>
    </i>
    <i r="1">
      <x v="9"/>
      <x v="4"/>
    </i>
    <i r="1">
      <x v="10"/>
      <x v="6"/>
    </i>
    <i r="1">
      <x v="11"/>
      <x v="8"/>
    </i>
    <i t="default">
      <x v="10"/>
    </i>
    <i>
      <x v="11"/>
      <x v="8"/>
      <x v="4"/>
    </i>
    <i r="1">
      <x v="9"/>
      <x v="6"/>
    </i>
    <i r="1">
      <x v="10"/>
      <x v="8"/>
    </i>
    <i r="1">
      <x v="11"/>
      <x v="10"/>
    </i>
    <i t="default">
      <x v="11"/>
    </i>
    <i>
      <x v="12"/>
      <x v="8"/>
      <x v="6"/>
    </i>
    <i r="1">
      <x v="9"/>
      <x v="8"/>
    </i>
    <i r="1">
      <x v="10"/>
      <x v="10"/>
    </i>
    <i r="1">
      <x v="11"/>
      <x v="13"/>
    </i>
    <i t="default">
      <x v="12"/>
    </i>
    <i>
      <x v="13"/>
      <x v="8"/>
      <x v="9"/>
    </i>
    <i r="1">
      <x v="9"/>
      <x v="11"/>
    </i>
    <i r="1">
      <x v="10"/>
      <x v="12"/>
    </i>
    <i r="1">
      <x v="11"/>
      <x v="14"/>
    </i>
    <i t="default">
      <x v="13"/>
    </i>
    <i>
      <x v="14"/>
      <x v="8"/>
      <x v="12"/>
    </i>
    <i r="1">
      <x v="9"/>
      <x v="14"/>
    </i>
    <i r="1">
      <x v="10"/>
      <x v="16"/>
    </i>
    <i r="1">
      <x v="11"/>
      <x v="19"/>
    </i>
    <i t="default">
      <x v="14"/>
    </i>
    <i>
      <x v="15"/>
      <x v="8"/>
      <x v="14"/>
    </i>
    <i r="1">
      <x v="9"/>
      <x v="16"/>
    </i>
    <i r="1">
      <x v="10"/>
      <x v="19"/>
    </i>
    <i r="1">
      <x v="11"/>
      <x v="22"/>
    </i>
    <i t="default">
      <x v="15"/>
    </i>
    <i>
      <x v="16"/>
      <x v="8"/>
      <x v="16"/>
    </i>
    <i r="1">
      <x v="9"/>
      <x v="19"/>
    </i>
    <i r="1">
      <x v="10"/>
      <x v="22"/>
    </i>
    <i r="1">
      <x v="11"/>
      <x v="24"/>
    </i>
    <i t="default">
      <x v="16"/>
    </i>
    <i>
      <x v="17"/>
      <x v="8"/>
      <x v="16"/>
    </i>
    <i r="1">
      <x v="9"/>
      <x v="18"/>
    </i>
    <i r="1">
      <x v="10"/>
      <x v="19"/>
    </i>
    <i r="1">
      <x v="11"/>
      <x v="21"/>
    </i>
    <i t="default">
      <x v="17"/>
    </i>
    <i>
      <x v="18"/>
      <x v="8"/>
      <x v="19"/>
    </i>
    <i r="1">
      <x v="9"/>
      <x v="22"/>
    </i>
    <i r="1">
      <x v="10"/>
      <x v="24"/>
    </i>
    <i r="1">
      <x v="11"/>
      <x v="27"/>
    </i>
    <i t="default">
      <x v="18"/>
    </i>
    <i>
      <x v="19"/>
      <x v="8"/>
      <x v="24"/>
    </i>
    <i r="1">
      <x v="9"/>
      <x v="26"/>
    </i>
    <i r="1">
      <x v="10"/>
      <x v="27"/>
    </i>
    <i r="1">
      <x v="11"/>
      <x v="29"/>
    </i>
    <i t="default">
      <x v="19"/>
    </i>
    <i>
      <x v="20"/>
      <x v="8"/>
      <x v="26"/>
    </i>
    <i r="1">
      <x v="9"/>
      <x v="27"/>
    </i>
    <i r="1">
      <x v="10"/>
      <x v="29"/>
    </i>
    <i r="1">
      <x v="11"/>
      <x v="30"/>
    </i>
    <i t="default">
      <x v="20"/>
    </i>
    <i>
      <x v="21"/>
      <x v="8"/>
      <x v="24"/>
    </i>
    <i r="1">
      <x v="9"/>
      <x v="24"/>
    </i>
    <i r="1">
      <x v="10"/>
      <x v="24"/>
    </i>
    <i r="1">
      <x v="11"/>
      <x v="24"/>
    </i>
    <i t="default">
      <x v="21"/>
    </i>
    <i>
      <x v="22"/>
      <x v="8"/>
      <x v="30"/>
    </i>
    <i r="1">
      <x v="9"/>
      <x v="32"/>
    </i>
    <i r="1">
      <x v="10"/>
      <x v="34"/>
    </i>
    <i r="1">
      <x v="11"/>
      <x v="36"/>
    </i>
    <i t="default">
      <x v="22"/>
    </i>
    <i>
      <x v="23"/>
      <x v="8"/>
      <x v="27"/>
    </i>
    <i r="1">
      <x v="9"/>
      <x v="29"/>
    </i>
    <i r="1">
      <x v="10"/>
      <x v="30"/>
    </i>
    <i r="1">
      <x v="11"/>
      <x v="31"/>
    </i>
    <i t="default">
      <x v="23"/>
    </i>
    <i>
      <x v="25"/>
      <x v="8"/>
      <x v="32"/>
    </i>
    <i r="1">
      <x v="9"/>
      <x v="34"/>
    </i>
    <i r="1">
      <x v="10"/>
      <x v="36"/>
    </i>
    <i r="1">
      <x v="11"/>
      <x v="38"/>
    </i>
    <i t="default">
      <x v="25"/>
    </i>
    <i>
      <x v="26"/>
      <x v="8"/>
      <x v="33"/>
    </i>
    <i r="1">
      <x v="9"/>
      <x v="35"/>
    </i>
    <i r="1">
      <x v="10"/>
      <x v="37"/>
    </i>
    <i r="1">
      <x v="11"/>
      <x v="39"/>
    </i>
    <i t="default">
      <x v="26"/>
    </i>
    <i>
      <x v="31"/>
      <x v="2"/>
      <x v="3"/>
    </i>
    <i r="1">
      <x v="3"/>
      <x v="3"/>
    </i>
    <i r="1">
      <x v="4"/>
      <x v="5"/>
    </i>
    <i r="1">
      <x v="5"/>
      <x v="5"/>
    </i>
    <i r="1">
      <x v="6"/>
      <x v="7"/>
    </i>
    <i r="1">
      <x v="7"/>
      <x v="7"/>
    </i>
    <i t="default">
      <x v="31"/>
    </i>
    <i>
      <x v="32"/>
      <x v="2"/>
      <x v="15"/>
    </i>
    <i r="1">
      <x v="3"/>
      <x v="17"/>
    </i>
    <i r="1">
      <x v="4"/>
      <x v="20"/>
    </i>
    <i r="1">
      <x v="5"/>
      <x v="23"/>
    </i>
    <i r="1">
      <x v="6"/>
      <x v="25"/>
    </i>
    <i r="1">
      <x v="7"/>
      <x v="28"/>
    </i>
    <i t="default">
      <x v="32"/>
    </i>
    <i t="grand">
      <x/>
    </i>
  </rowItems>
  <colItems count="1">
    <i/>
  </colItems>
  <pageFields count="2">
    <pageField fld="4" item="0" hier="-1"/>
    <pageField fld="15" hier="-1"/>
  </pageFields>
  <dataFields count="1">
    <dataField name="Soma de CUSTO REPLAN" fld="34" baseField="31" baseItem="2" numFmtId="164"/>
  </dataFields>
  <formats count="8">
    <format dxfId="7">
      <pivotArea outline="0" collapsedLevelsAreSubtotals="1" fieldPosition="0"/>
    </format>
    <format dxfId="6">
      <pivotArea field="31" type="button" dataOnly="0" labelOnly="1" outline="0" axis="axisRow" fieldPosition="2"/>
    </format>
    <format dxfId="5">
      <pivotArea type="topRight" dataOnly="0" labelOnly="1" outline="0" fieldPosition="0"/>
    </format>
    <format dxfId="4">
      <pivotArea dataOnly="0" labelOnly="1" outline="0" fieldPosition="0">
        <references count="1">
          <reference field="31" count="39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</references>
      </pivotArea>
    </format>
    <format dxfId="3">
      <pivotArea dataOnly="0" labelOnly="1" grandCol="1" outline="0" fieldPosition="0"/>
    </format>
    <format dxfId="2">
      <pivotArea outline="0" collapsedLevelsAreSubtotals="1" fieldPosition="0"/>
    </format>
    <format dxfId="1">
      <pivotArea type="topRight" dataOnly="0" labelOnly="1"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45F4-5D67-4C81-99B6-2AE8C02D04E6}">
  <dimension ref="B1:D301"/>
  <sheetViews>
    <sheetView topLeftCell="A283" zoomScale="175" zoomScaleNormal="175" workbookViewId="0">
      <selection activeCell="B165" sqref="B165:D165"/>
    </sheetView>
  </sheetViews>
  <sheetFormatPr defaultRowHeight="15" x14ac:dyDescent="0.25"/>
  <cols>
    <col min="2" max="2" width="10.140625" style="9" customWidth="1"/>
    <col min="3" max="3" width="9.140625" style="2"/>
  </cols>
  <sheetData>
    <row r="1" spans="2:4" x14ac:dyDescent="0.25">
      <c r="B1" s="8">
        <v>44424</v>
      </c>
      <c r="C1" s="2">
        <v>1</v>
      </c>
      <c r="D1" t="s">
        <v>336</v>
      </c>
    </row>
    <row r="2" spans="2:4" x14ac:dyDescent="0.25">
      <c r="B2" s="9">
        <v>44425</v>
      </c>
      <c r="C2" s="2">
        <v>1</v>
      </c>
      <c r="D2" t="s">
        <v>337</v>
      </c>
    </row>
    <row r="3" spans="2:4" x14ac:dyDescent="0.25">
      <c r="B3" s="9">
        <v>44426</v>
      </c>
      <c r="C3" s="2">
        <v>1</v>
      </c>
      <c r="D3" t="s">
        <v>338</v>
      </c>
    </row>
    <row r="4" spans="2:4" x14ac:dyDescent="0.25">
      <c r="B4" s="9">
        <v>44427</v>
      </c>
      <c r="C4" s="2">
        <v>1</v>
      </c>
      <c r="D4" t="s">
        <v>339</v>
      </c>
    </row>
    <row r="5" spans="2:4" x14ac:dyDescent="0.25">
      <c r="B5" s="9">
        <v>44428</v>
      </c>
      <c r="C5" s="2">
        <v>1</v>
      </c>
      <c r="D5" t="s">
        <v>340</v>
      </c>
    </row>
    <row r="6" spans="2:4" x14ac:dyDescent="0.25">
      <c r="B6" s="9">
        <v>44429</v>
      </c>
      <c r="C6" s="2">
        <v>1</v>
      </c>
      <c r="D6" t="s">
        <v>341</v>
      </c>
    </row>
    <row r="7" spans="2:4" x14ac:dyDescent="0.25">
      <c r="B7" s="9">
        <v>44430</v>
      </c>
      <c r="C7" s="2">
        <v>1</v>
      </c>
      <c r="D7" t="s">
        <v>342</v>
      </c>
    </row>
    <row r="8" spans="2:4" x14ac:dyDescent="0.25">
      <c r="B8" s="9">
        <v>44431</v>
      </c>
      <c r="C8" s="2">
        <f>C1+1</f>
        <v>2</v>
      </c>
      <c r="D8" t="s">
        <v>336</v>
      </c>
    </row>
    <row r="9" spans="2:4" x14ac:dyDescent="0.25">
      <c r="B9" s="9">
        <v>44432</v>
      </c>
      <c r="C9" s="2">
        <f t="shared" ref="C9:C72" si="0">C2+1</f>
        <v>2</v>
      </c>
      <c r="D9" t="s">
        <v>337</v>
      </c>
    </row>
    <row r="10" spans="2:4" x14ac:dyDescent="0.25">
      <c r="B10" s="9">
        <v>44433</v>
      </c>
      <c r="C10" s="2">
        <f t="shared" si="0"/>
        <v>2</v>
      </c>
      <c r="D10" t="s">
        <v>338</v>
      </c>
    </row>
    <row r="11" spans="2:4" x14ac:dyDescent="0.25">
      <c r="B11" s="9">
        <v>44434</v>
      </c>
      <c r="C11" s="2">
        <f t="shared" si="0"/>
        <v>2</v>
      </c>
      <c r="D11" t="s">
        <v>339</v>
      </c>
    </row>
    <row r="12" spans="2:4" x14ac:dyDescent="0.25">
      <c r="B12" s="9">
        <v>44435</v>
      </c>
      <c r="C12" s="2">
        <f t="shared" si="0"/>
        <v>2</v>
      </c>
      <c r="D12" t="s">
        <v>340</v>
      </c>
    </row>
    <row r="13" spans="2:4" x14ac:dyDescent="0.25">
      <c r="B13" s="9">
        <v>44436</v>
      </c>
      <c r="C13" s="2">
        <f t="shared" si="0"/>
        <v>2</v>
      </c>
      <c r="D13" t="s">
        <v>341</v>
      </c>
    </row>
    <row r="14" spans="2:4" x14ac:dyDescent="0.25">
      <c r="B14" s="9">
        <v>44437</v>
      </c>
      <c r="C14" s="2">
        <f t="shared" si="0"/>
        <v>2</v>
      </c>
      <c r="D14" t="s">
        <v>342</v>
      </c>
    </row>
    <row r="15" spans="2:4" x14ac:dyDescent="0.25">
      <c r="B15" s="9">
        <v>44438</v>
      </c>
      <c r="C15" s="2">
        <f t="shared" si="0"/>
        <v>3</v>
      </c>
      <c r="D15" t="s">
        <v>336</v>
      </c>
    </row>
    <row r="16" spans="2:4" x14ac:dyDescent="0.25">
      <c r="B16" s="9">
        <v>44439</v>
      </c>
      <c r="C16" s="2">
        <f t="shared" si="0"/>
        <v>3</v>
      </c>
      <c r="D16" t="s">
        <v>337</v>
      </c>
    </row>
    <row r="17" spans="2:4" x14ac:dyDescent="0.25">
      <c r="B17" s="9">
        <v>44440</v>
      </c>
      <c r="C17" s="2">
        <f t="shared" si="0"/>
        <v>3</v>
      </c>
      <c r="D17" t="s">
        <v>338</v>
      </c>
    </row>
    <row r="18" spans="2:4" x14ac:dyDescent="0.25">
      <c r="B18" s="9">
        <v>44441</v>
      </c>
      <c r="C18" s="2">
        <f t="shared" si="0"/>
        <v>3</v>
      </c>
      <c r="D18" t="s">
        <v>339</v>
      </c>
    </row>
    <row r="19" spans="2:4" x14ac:dyDescent="0.25">
      <c r="B19" s="9">
        <v>44442</v>
      </c>
      <c r="C19" s="2">
        <f t="shared" si="0"/>
        <v>3</v>
      </c>
      <c r="D19" t="s">
        <v>340</v>
      </c>
    </row>
    <row r="20" spans="2:4" x14ac:dyDescent="0.25">
      <c r="B20" s="9">
        <v>44443</v>
      </c>
      <c r="C20" s="2">
        <f t="shared" si="0"/>
        <v>3</v>
      </c>
      <c r="D20" t="s">
        <v>341</v>
      </c>
    </row>
    <row r="21" spans="2:4" x14ac:dyDescent="0.25">
      <c r="B21" s="9">
        <v>44444</v>
      </c>
      <c r="C21" s="2">
        <f t="shared" si="0"/>
        <v>3</v>
      </c>
      <c r="D21" t="s">
        <v>342</v>
      </c>
    </row>
    <row r="22" spans="2:4" x14ac:dyDescent="0.25">
      <c r="B22" s="9">
        <v>44445</v>
      </c>
      <c r="C22" s="2">
        <f t="shared" si="0"/>
        <v>4</v>
      </c>
      <c r="D22" t="s">
        <v>336</v>
      </c>
    </row>
    <row r="23" spans="2:4" x14ac:dyDescent="0.25">
      <c r="B23" s="9">
        <v>44446</v>
      </c>
      <c r="C23" s="2">
        <f t="shared" si="0"/>
        <v>4</v>
      </c>
      <c r="D23" t="s">
        <v>337</v>
      </c>
    </row>
    <row r="24" spans="2:4" x14ac:dyDescent="0.25">
      <c r="B24" s="9">
        <v>44447</v>
      </c>
      <c r="C24" s="2">
        <f t="shared" si="0"/>
        <v>4</v>
      </c>
      <c r="D24" t="s">
        <v>338</v>
      </c>
    </row>
    <row r="25" spans="2:4" x14ac:dyDescent="0.25">
      <c r="B25" s="9">
        <v>44448</v>
      </c>
      <c r="C25" s="2">
        <f t="shared" si="0"/>
        <v>4</v>
      </c>
      <c r="D25" t="s">
        <v>339</v>
      </c>
    </row>
    <row r="26" spans="2:4" x14ac:dyDescent="0.25">
      <c r="B26" s="9">
        <v>44449</v>
      </c>
      <c r="C26" s="2">
        <f t="shared" si="0"/>
        <v>4</v>
      </c>
      <c r="D26" t="s">
        <v>340</v>
      </c>
    </row>
    <row r="27" spans="2:4" x14ac:dyDescent="0.25">
      <c r="B27" s="9">
        <v>44450</v>
      </c>
      <c r="C27" s="2">
        <f t="shared" si="0"/>
        <v>4</v>
      </c>
      <c r="D27" t="s">
        <v>341</v>
      </c>
    </row>
    <row r="28" spans="2:4" x14ac:dyDescent="0.25">
      <c r="B28" s="9">
        <v>44451</v>
      </c>
      <c r="C28" s="2">
        <f t="shared" si="0"/>
        <v>4</v>
      </c>
      <c r="D28" t="s">
        <v>342</v>
      </c>
    </row>
    <row r="29" spans="2:4" x14ac:dyDescent="0.25">
      <c r="B29" s="9">
        <v>44452</v>
      </c>
      <c r="C29" s="2">
        <f t="shared" si="0"/>
        <v>5</v>
      </c>
      <c r="D29" t="s">
        <v>336</v>
      </c>
    </row>
    <row r="30" spans="2:4" x14ac:dyDescent="0.25">
      <c r="B30" s="9">
        <v>44453</v>
      </c>
      <c r="C30" s="2">
        <f t="shared" si="0"/>
        <v>5</v>
      </c>
      <c r="D30" t="s">
        <v>337</v>
      </c>
    </row>
    <row r="31" spans="2:4" x14ac:dyDescent="0.25">
      <c r="B31" s="9">
        <v>44454</v>
      </c>
      <c r="C31" s="2">
        <f t="shared" si="0"/>
        <v>5</v>
      </c>
      <c r="D31" t="s">
        <v>338</v>
      </c>
    </row>
    <row r="32" spans="2:4" x14ac:dyDescent="0.25">
      <c r="B32" s="9">
        <v>44455</v>
      </c>
      <c r="C32" s="2">
        <f t="shared" si="0"/>
        <v>5</v>
      </c>
      <c r="D32" t="s">
        <v>339</v>
      </c>
    </row>
    <row r="33" spans="2:4" x14ac:dyDescent="0.25">
      <c r="B33" s="9">
        <v>44456</v>
      </c>
      <c r="C33" s="2">
        <f t="shared" si="0"/>
        <v>5</v>
      </c>
      <c r="D33" t="s">
        <v>340</v>
      </c>
    </row>
    <row r="34" spans="2:4" x14ac:dyDescent="0.25">
      <c r="B34" s="9">
        <v>44457</v>
      </c>
      <c r="C34" s="2">
        <f t="shared" si="0"/>
        <v>5</v>
      </c>
      <c r="D34" t="s">
        <v>341</v>
      </c>
    </row>
    <row r="35" spans="2:4" x14ac:dyDescent="0.25">
      <c r="B35" s="9">
        <v>44458</v>
      </c>
      <c r="C35" s="2">
        <f t="shared" si="0"/>
        <v>5</v>
      </c>
      <c r="D35" t="s">
        <v>342</v>
      </c>
    </row>
    <row r="36" spans="2:4" x14ac:dyDescent="0.25">
      <c r="B36" s="9">
        <v>44459</v>
      </c>
      <c r="C36" s="2">
        <f t="shared" si="0"/>
        <v>6</v>
      </c>
      <c r="D36" t="s">
        <v>336</v>
      </c>
    </row>
    <row r="37" spans="2:4" x14ac:dyDescent="0.25">
      <c r="B37" s="9">
        <v>44460</v>
      </c>
      <c r="C37" s="2">
        <f t="shared" si="0"/>
        <v>6</v>
      </c>
      <c r="D37" t="s">
        <v>337</v>
      </c>
    </row>
    <row r="38" spans="2:4" x14ac:dyDescent="0.25">
      <c r="B38" s="9">
        <v>44461</v>
      </c>
      <c r="C38" s="2">
        <f t="shared" si="0"/>
        <v>6</v>
      </c>
      <c r="D38" t="s">
        <v>338</v>
      </c>
    </row>
    <row r="39" spans="2:4" x14ac:dyDescent="0.25">
      <c r="B39" s="9">
        <v>44462</v>
      </c>
      <c r="C39" s="2">
        <f t="shared" si="0"/>
        <v>6</v>
      </c>
      <c r="D39" t="s">
        <v>339</v>
      </c>
    </row>
    <row r="40" spans="2:4" x14ac:dyDescent="0.25">
      <c r="B40" s="9">
        <v>44463</v>
      </c>
      <c r="C40" s="2">
        <f t="shared" si="0"/>
        <v>6</v>
      </c>
      <c r="D40" t="s">
        <v>340</v>
      </c>
    </row>
    <row r="41" spans="2:4" x14ac:dyDescent="0.25">
      <c r="B41" s="9">
        <v>44464</v>
      </c>
      <c r="C41" s="2">
        <f t="shared" si="0"/>
        <v>6</v>
      </c>
      <c r="D41" t="s">
        <v>341</v>
      </c>
    </row>
    <row r="42" spans="2:4" x14ac:dyDescent="0.25">
      <c r="B42" s="9">
        <v>44465</v>
      </c>
      <c r="C42" s="2">
        <f t="shared" si="0"/>
        <v>6</v>
      </c>
      <c r="D42" t="s">
        <v>342</v>
      </c>
    </row>
    <row r="43" spans="2:4" x14ac:dyDescent="0.25">
      <c r="B43" s="9">
        <v>44466</v>
      </c>
      <c r="C43" s="2">
        <f t="shared" si="0"/>
        <v>7</v>
      </c>
      <c r="D43" t="s">
        <v>336</v>
      </c>
    </row>
    <row r="44" spans="2:4" x14ac:dyDescent="0.25">
      <c r="B44" s="9">
        <v>44467</v>
      </c>
      <c r="C44" s="2">
        <f t="shared" si="0"/>
        <v>7</v>
      </c>
      <c r="D44" t="s">
        <v>337</v>
      </c>
    </row>
    <row r="45" spans="2:4" x14ac:dyDescent="0.25">
      <c r="B45" s="9">
        <v>44468</v>
      </c>
      <c r="C45" s="2">
        <f t="shared" si="0"/>
        <v>7</v>
      </c>
      <c r="D45" t="s">
        <v>338</v>
      </c>
    </row>
    <row r="46" spans="2:4" x14ac:dyDescent="0.25">
      <c r="B46" s="9">
        <v>44469</v>
      </c>
      <c r="C46" s="2">
        <f t="shared" si="0"/>
        <v>7</v>
      </c>
      <c r="D46" t="s">
        <v>339</v>
      </c>
    </row>
    <row r="47" spans="2:4" x14ac:dyDescent="0.25">
      <c r="B47" s="9">
        <v>44470</v>
      </c>
      <c r="C47" s="2">
        <f t="shared" si="0"/>
        <v>7</v>
      </c>
      <c r="D47" t="s">
        <v>340</v>
      </c>
    </row>
    <row r="48" spans="2:4" x14ac:dyDescent="0.25">
      <c r="B48" s="9">
        <v>44471</v>
      </c>
      <c r="C48" s="2">
        <f t="shared" si="0"/>
        <v>7</v>
      </c>
      <c r="D48" t="s">
        <v>341</v>
      </c>
    </row>
    <row r="49" spans="2:4" x14ac:dyDescent="0.25">
      <c r="B49" s="9">
        <v>44472</v>
      </c>
      <c r="C49" s="2">
        <f t="shared" si="0"/>
        <v>7</v>
      </c>
      <c r="D49" t="s">
        <v>342</v>
      </c>
    </row>
    <row r="50" spans="2:4" x14ac:dyDescent="0.25">
      <c r="B50" s="9">
        <v>44473</v>
      </c>
      <c r="C50" s="2">
        <f t="shared" si="0"/>
        <v>8</v>
      </c>
      <c r="D50" t="s">
        <v>336</v>
      </c>
    </row>
    <row r="51" spans="2:4" x14ac:dyDescent="0.25">
      <c r="B51" s="9">
        <v>44474</v>
      </c>
      <c r="C51" s="2">
        <f t="shared" si="0"/>
        <v>8</v>
      </c>
      <c r="D51" t="s">
        <v>337</v>
      </c>
    </row>
    <row r="52" spans="2:4" x14ac:dyDescent="0.25">
      <c r="B52" s="9">
        <v>44475</v>
      </c>
      <c r="C52" s="2">
        <f t="shared" si="0"/>
        <v>8</v>
      </c>
      <c r="D52" t="s">
        <v>338</v>
      </c>
    </row>
    <row r="53" spans="2:4" x14ac:dyDescent="0.25">
      <c r="B53" s="9">
        <v>44476</v>
      </c>
      <c r="C53" s="2">
        <f t="shared" si="0"/>
        <v>8</v>
      </c>
      <c r="D53" t="s">
        <v>339</v>
      </c>
    </row>
    <row r="54" spans="2:4" x14ac:dyDescent="0.25">
      <c r="B54" s="9">
        <v>44477</v>
      </c>
      <c r="C54" s="2">
        <f t="shared" si="0"/>
        <v>8</v>
      </c>
      <c r="D54" t="s">
        <v>340</v>
      </c>
    </row>
    <row r="55" spans="2:4" x14ac:dyDescent="0.25">
      <c r="B55" s="9">
        <v>44478</v>
      </c>
      <c r="C55" s="2">
        <f t="shared" si="0"/>
        <v>8</v>
      </c>
      <c r="D55" t="s">
        <v>341</v>
      </c>
    </row>
    <row r="56" spans="2:4" x14ac:dyDescent="0.25">
      <c r="B56" s="9">
        <v>44479</v>
      </c>
      <c r="C56" s="2">
        <f t="shared" si="0"/>
        <v>8</v>
      </c>
      <c r="D56" t="s">
        <v>342</v>
      </c>
    </row>
    <row r="57" spans="2:4" x14ac:dyDescent="0.25">
      <c r="B57" s="9">
        <v>44480</v>
      </c>
      <c r="C57" s="2">
        <f t="shared" si="0"/>
        <v>9</v>
      </c>
      <c r="D57" t="s">
        <v>336</v>
      </c>
    </row>
    <row r="58" spans="2:4" x14ac:dyDescent="0.25">
      <c r="B58" s="9">
        <v>44481</v>
      </c>
      <c r="C58" s="2">
        <f t="shared" si="0"/>
        <v>9</v>
      </c>
      <c r="D58" t="s">
        <v>337</v>
      </c>
    </row>
    <row r="59" spans="2:4" x14ac:dyDescent="0.25">
      <c r="B59" s="9">
        <v>44482</v>
      </c>
      <c r="C59" s="2">
        <f t="shared" si="0"/>
        <v>9</v>
      </c>
      <c r="D59" t="s">
        <v>338</v>
      </c>
    </row>
    <row r="60" spans="2:4" x14ac:dyDescent="0.25">
      <c r="B60" s="9">
        <v>44483</v>
      </c>
      <c r="C60" s="2">
        <f t="shared" si="0"/>
        <v>9</v>
      </c>
      <c r="D60" t="s">
        <v>339</v>
      </c>
    </row>
    <row r="61" spans="2:4" x14ac:dyDescent="0.25">
      <c r="B61" s="9">
        <v>44484</v>
      </c>
      <c r="C61" s="2">
        <f t="shared" si="0"/>
        <v>9</v>
      </c>
      <c r="D61" t="s">
        <v>340</v>
      </c>
    </row>
    <row r="62" spans="2:4" x14ac:dyDescent="0.25">
      <c r="B62" s="9">
        <v>44485</v>
      </c>
      <c r="C62" s="2">
        <f t="shared" si="0"/>
        <v>9</v>
      </c>
      <c r="D62" t="s">
        <v>341</v>
      </c>
    </row>
    <row r="63" spans="2:4" x14ac:dyDescent="0.25">
      <c r="B63" s="9">
        <v>44486</v>
      </c>
      <c r="C63" s="2">
        <f t="shared" si="0"/>
        <v>9</v>
      </c>
      <c r="D63" t="s">
        <v>342</v>
      </c>
    </row>
    <row r="64" spans="2:4" x14ac:dyDescent="0.25">
      <c r="B64" s="9">
        <v>44487</v>
      </c>
      <c r="C64" s="2">
        <f t="shared" si="0"/>
        <v>10</v>
      </c>
      <c r="D64" t="s">
        <v>336</v>
      </c>
    </row>
    <row r="65" spans="2:4" x14ac:dyDescent="0.25">
      <c r="B65" s="9">
        <v>44488</v>
      </c>
      <c r="C65" s="2">
        <f t="shared" si="0"/>
        <v>10</v>
      </c>
      <c r="D65" t="s">
        <v>337</v>
      </c>
    </row>
    <row r="66" spans="2:4" x14ac:dyDescent="0.25">
      <c r="B66" s="9">
        <v>44489</v>
      </c>
      <c r="C66" s="2">
        <f t="shared" si="0"/>
        <v>10</v>
      </c>
      <c r="D66" t="s">
        <v>338</v>
      </c>
    </row>
    <row r="67" spans="2:4" x14ac:dyDescent="0.25">
      <c r="B67" s="9">
        <v>44490</v>
      </c>
      <c r="C67" s="2">
        <f t="shared" si="0"/>
        <v>10</v>
      </c>
      <c r="D67" t="s">
        <v>339</v>
      </c>
    </row>
    <row r="68" spans="2:4" x14ac:dyDescent="0.25">
      <c r="B68" s="9">
        <v>44491</v>
      </c>
      <c r="C68" s="2">
        <f t="shared" si="0"/>
        <v>10</v>
      </c>
      <c r="D68" t="s">
        <v>340</v>
      </c>
    </row>
    <row r="69" spans="2:4" x14ac:dyDescent="0.25">
      <c r="B69" s="9">
        <v>44492</v>
      </c>
      <c r="C69" s="2">
        <f t="shared" si="0"/>
        <v>10</v>
      </c>
      <c r="D69" t="s">
        <v>341</v>
      </c>
    </row>
    <row r="70" spans="2:4" x14ac:dyDescent="0.25">
      <c r="B70" s="9">
        <v>44493</v>
      </c>
      <c r="C70" s="2">
        <f t="shared" si="0"/>
        <v>10</v>
      </c>
      <c r="D70" t="s">
        <v>342</v>
      </c>
    </row>
    <row r="71" spans="2:4" x14ac:dyDescent="0.25">
      <c r="B71" s="9">
        <v>44494</v>
      </c>
      <c r="C71" s="2">
        <f t="shared" si="0"/>
        <v>11</v>
      </c>
      <c r="D71" t="s">
        <v>336</v>
      </c>
    </row>
    <row r="72" spans="2:4" x14ac:dyDescent="0.25">
      <c r="B72" s="9">
        <v>44495</v>
      </c>
      <c r="C72" s="2">
        <f t="shared" si="0"/>
        <v>11</v>
      </c>
      <c r="D72" t="s">
        <v>337</v>
      </c>
    </row>
    <row r="73" spans="2:4" x14ac:dyDescent="0.25">
      <c r="B73" s="9">
        <v>44496</v>
      </c>
      <c r="C73" s="2">
        <f t="shared" ref="C73:C136" si="1">C66+1</f>
        <v>11</v>
      </c>
      <c r="D73" t="s">
        <v>338</v>
      </c>
    </row>
    <row r="74" spans="2:4" x14ac:dyDescent="0.25">
      <c r="B74" s="9">
        <v>44497</v>
      </c>
      <c r="C74" s="2">
        <f t="shared" si="1"/>
        <v>11</v>
      </c>
      <c r="D74" t="s">
        <v>339</v>
      </c>
    </row>
    <row r="75" spans="2:4" x14ac:dyDescent="0.25">
      <c r="B75" s="9">
        <v>44498</v>
      </c>
      <c r="C75" s="2">
        <f t="shared" si="1"/>
        <v>11</v>
      </c>
      <c r="D75" t="s">
        <v>340</v>
      </c>
    </row>
    <row r="76" spans="2:4" x14ac:dyDescent="0.25">
      <c r="B76" s="9">
        <v>44499</v>
      </c>
      <c r="C76" s="2">
        <f t="shared" si="1"/>
        <v>11</v>
      </c>
      <c r="D76" t="s">
        <v>341</v>
      </c>
    </row>
    <row r="77" spans="2:4" x14ac:dyDescent="0.25">
      <c r="B77" s="9">
        <v>44500</v>
      </c>
      <c r="C77" s="2">
        <f t="shared" si="1"/>
        <v>11</v>
      </c>
      <c r="D77" t="s">
        <v>342</v>
      </c>
    </row>
    <row r="78" spans="2:4" x14ac:dyDescent="0.25">
      <c r="B78" s="9">
        <v>44501</v>
      </c>
      <c r="C78" s="2">
        <f t="shared" si="1"/>
        <v>12</v>
      </c>
      <c r="D78" t="s">
        <v>336</v>
      </c>
    </row>
    <row r="79" spans="2:4" x14ac:dyDescent="0.25">
      <c r="B79" s="9">
        <v>44502</v>
      </c>
      <c r="C79" s="2">
        <f t="shared" si="1"/>
        <v>12</v>
      </c>
      <c r="D79" t="s">
        <v>337</v>
      </c>
    </row>
    <row r="80" spans="2:4" x14ac:dyDescent="0.25">
      <c r="B80" s="9">
        <v>44503</v>
      </c>
      <c r="C80" s="2">
        <f t="shared" si="1"/>
        <v>12</v>
      </c>
      <c r="D80" t="s">
        <v>338</v>
      </c>
    </row>
    <row r="81" spans="2:4" x14ac:dyDescent="0.25">
      <c r="B81" s="9">
        <v>44504</v>
      </c>
      <c r="C81" s="2">
        <f t="shared" si="1"/>
        <v>12</v>
      </c>
      <c r="D81" t="s">
        <v>339</v>
      </c>
    </row>
    <row r="82" spans="2:4" x14ac:dyDescent="0.25">
      <c r="B82" s="9">
        <v>44505</v>
      </c>
      <c r="C82" s="2">
        <f t="shared" si="1"/>
        <v>12</v>
      </c>
      <c r="D82" t="s">
        <v>340</v>
      </c>
    </row>
    <row r="83" spans="2:4" x14ac:dyDescent="0.25">
      <c r="B83" s="9">
        <v>44506</v>
      </c>
      <c r="C83" s="2">
        <f t="shared" si="1"/>
        <v>12</v>
      </c>
      <c r="D83" t="s">
        <v>341</v>
      </c>
    </row>
    <row r="84" spans="2:4" x14ac:dyDescent="0.25">
      <c r="B84" s="9">
        <v>44507</v>
      </c>
      <c r="C84" s="2">
        <f t="shared" si="1"/>
        <v>12</v>
      </c>
      <c r="D84" t="s">
        <v>342</v>
      </c>
    </row>
    <row r="85" spans="2:4" x14ac:dyDescent="0.25">
      <c r="B85" s="9">
        <v>44508</v>
      </c>
      <c r="C85" s="2">
        <f t="shared" si="1"/>
        <v>13</v>
      </c>
      <c r="D85" t="s">
        <v>336</v>
      </c>
    </row>
    <row r="86" spans="2:4" x14ac:dyDescent="0.25">
      <c r="B86" s="9">
        <v>44509</v>
      </c>
      <c r="C86" s="2">
        <f t="shared" si="1"/>
        <v>13</v>
      </c>
      <c r="D86" t="s">
        <v>337</v>
      </c>
    </row>
    <row r="87" spans="2:4" x14ac:dyDescent="0.25">
      <c r="B87" s="9">
        <v>44510</v>
      </c>
      <c r="C87" s="2">
        <f t="shared" si="1"/>
        <v>13</v>
      </c>
      <c r="D87" t="s">
        <v>338</v>
      </c>
    </row>
    <row r="88" spans="2:4" x14ac:dyDescent="0.25">
      <c r="B88" s="9">
        <v>44511</v>
      </c>
      <c r="C88" s="2">
        <f t="shared" si="1"/>
        <v>13</v>
      </c>
      <c r="D88" t="s">
        <v>339</v>
      </c>
    </row>
    <row r="89" spans="2:4" x14ac:dyDescent="0.25">
      <c r="B89" s="9">
        <v>44512</v>
      </c>
      <c r="C89" s="2">
        <f t="shared" si="1"/>
        <v>13</v>
      </c>
      <c r="D89" t="s">
        <v>340</v>
      </c>
    </row>
    <row r="90" spans="2:4" x14ac:dyDescent="0.25">
      <c r="B90" s="9">
        <v>44513</v>
      </c>
      <c r="C90" s="2">
        <f t="shared" si="1"/>
        <v>13</v>
      </c>
      <c r="D90" t="s">
        <v>341</v>
      </c>
    </row>
    <row r="91" spans="2:4" x14ac:dyDescent="0.25">
      <c r="B91" s="9">
        <v>44514</v>
      </c>
      <c r="C91" s="2">
        <f t="shared" si="1"/>
        <v>13</v>
      </c>
      <c r="D91" t="s">
        <v>342</v>
      </c>
    </row>
    <row r="92" spans="2:4" x14ac:dyDescent="0.25">
      <c r="B92" s="9">
        <v>44515</v>
      </c>
      <c r="C92" s="2">
        <f t="shared" si="1"/>
        <v>14</v>
      </c>
      <c r="D92" t="s">
        <v>336</v>
      </c>
    </row>
    <row r="93" spans="2:4" x14ac:dyDescent="0.25">
      <c r="B93" s="9">
        <v>44516</v>
      </c>
      <c r="C93" s="2">
        <f t="shared" si="1"/>
        <v>14</v>
      </c>
      <c r="D93" t="s">
        <v>337</v>
      </c>
    </row>
    <row r="94" spans="2:4" x14ac:dyDescent="0.25">
      <c r="B94" s="9">
        <v>44517</v>
      </c>
      <c r="C94" s="2">
        <f t="shared" si="1"/>
        <v>14</v>
      </c>
      <c r="D94" t="s">
        <v>338</v>
      </c>
    </row>
    <row r="95" spans="2:4" x14ac:dyDescent="0.25">
      <c r="B95" s="9">
        <v>44518</v>
      </c>
      <c r="C95" s="2">
        <f t="shared" si="1"/>
        <v>14</v>
      </c>
      <c r="D95" t="s">
        <v>339</v>
      </c>
    </row>
    <row r="96" spans="2:4" x14ac:dyDescent="0.25">
      <c r="B96" s="9">
        <v>44519</v>
      </c>
      <c r="C96" s="2">
        <f t="shared" si="1"/>
        <v>14</v>
      </c>
      <c r="D96" t="s">
        <v>340</v>
      </c>
    </row>
    <row r="97" spans="2:4" x14ac:dyDescent="0.25">
      <c r="B97" s="9">
        <v>44520</v>
      </c>
      <c r="C97" s="2">
        <f t="shared" si="1"/>
        <v>14</v>
      </c>
      <c r="D97" t="s">
        <v>341</v>
      </c>
    </row>
    <row r="98" spans="2:4" x14ac:dyDescent="0.25">
      <c r="B98" s="9">
        <v>44521</v>
      </c>
      <c r="C98" s="2">
        <f t="shared" si="1"/>
        <v>14</v>
      </c>
      <c r="D98" t="s">
        <v>342</v>
      </c>
    </row>
    <row r="99" spans="2:4" x14ac:dyDescent="0.25">
      <c r="B99" s="9">
        <v>44522</v>
      </c>
      <c r="C99" s="2">
        <f t="shared" si="1"/>
        <v>15</v>
      </c>
      <c r="D99" t="s">
        <v>336</v>
      </c>
    </row>
    <row r="100" spans="2:4" x14ac:dyDescent="0.25">
      <c r="B100" s="9">
        <v>44523</v>
      </c>
      <c r="C100" s="2">
        <f t="shared" si="1"/>
        <v>15</v>
      </c>
      <c r="D100" t="s">
        <v>337</v>
      </c>
    </row>
    <row r="101" spans="2:4" x14ac:dyDescent="0.25">
      <c r="B101" s="9">
        <v>44524</v>
      </c>
      <c r="C101" s="2">
        <f t="shared" si="1"/>
        <v>15</v>
      </c>
      <c r="D101" t="s">
        <v>338</v>
      </c>
    </row>
    <row r="102" spans="2:4" x14ac:dyDescent="0.25">
      <c r="B102" s="9">
        <v>44525</v>
      </c>
      <c r="C102" s="2">
        <f t="shared" si="1"/>
        <v>15</v>
      </c>
      <c r="D102" t="s">
        <v>339</v>
      </c>
    </row>
    <row r="103" spans="2:4" x14ac:dyDescent="0.25">
      <c r="B103" s="9">
        <v>44526</v>
      </c>
      <c r="C103" s="2">
        <f t="shared" si="1"/>
        <v>15</v>
      </c>
      <c r="D103" t="s">
        <v>340</v>
      </c>
    </row>
    <row r="104" spans="2:4" x14ac:dyDescent="0.25">
      <c r="B104" s="9">
        <v>44527</v>
      </c>
      <c r="C104" s="2">
        <f t="shared" si="1"/>
        <v>15</v>
      </c>
      <c r="D104" t="s">
        <v>341</v>
      </c>
    </row>
    <row r="105" spans="2:4" x14ac:dyDescent="0.25">
      <c r="B105" s="9">
        <v>44528</v>
      </c>
      <c r="C105" s="2">
        <f t="shared" si="1"/>
        <v>15</v>
      </c>
      <c r="D105" t="s">
        <v>342</v>
      </c>
    </row>
    <row r="106" spans="2:4" x14ac:dyDescent="0.25">
      <c r="B106" s="9">
        <v>44529</v>
      </c>
      <c r="C106" s="2">
        <f t="shared" si="1"/>
        <v>16</v>
      </c>
      <c r="D106" t="s">
        <v>336</v>
      </c>
    </row>
    <row r="107" spans="2:4" x14ac:dyDescent="0.25">
      <c r="B107" s="9">
        <v>44530</v>
      </c>
      <c r="C107" s="2">
        <f t="shared" si="1"/>
        <v>16</v>
      </c>
      <c r="D107" t="s">
        <v>337</v>
      </c>
    </row>
    <row r="108" spans="2:4" x14ac:dyDescent="0.25">
      <c r="B108" s="9">
        <v>44531</v>
      </c>
      <c r="C108" s="2">
        <f t="shared" si="1"/>
        <v>16</v>
      </c>
      <c r="D108" t="s">
        <v>338</v>
      </c>
    </row>
    <row r="109" spans="2:4" x14ac:dyDescent="0.25">
      <c r="B109" s="9">
        <v>44532</v>
      </c>
      <c r="C109" s="2">
        <f t="shared" si="1"/>
        <v>16</v>
      </c>
      <c r="D109" t="s">
        <v>339</v>
      </c>
    </row>
    <row r="110" spans="2:4" x14ac:dyDescent="0.25">
      <c r="B110" s="9">
        <v>44533</v>
      </c>
      <c r="C110" s="2">
        <f t="shared" si="1"/>
        <v>16</v>
      </c>
      <c r="D110" t="s">
        <v>340</v>
      </c>
    </row>
    <row r="111" spans="2:4" x14ac:dyDescent="0.25">
      <c r="B111" s="9">
        <v>44534</v>
      </c>
      <c r="C111" s="2">
        <f t="shared" si="1"/>
        <v>16</v>
      </c>
      <c r="D111" t="s">
        <v>341</v>
      </c>
    </row>
    <row r="112" spans="2:4" x14ac:dyDescent="0.25">
      <c r="B112" s="9">
        <v>44535</v>
      </c>
      <c r="C112" s="2">
        <f t="shared" si="1"/>
        <v>16</v>
      </c>
      <c r="D112" t="s">
        <v>342</v>
      </c>
    </row>
    <row r="113" spans="2:4" x14ac:dyDescent="0.25">
      <c r="B113" s="9">
        <v>44536</v>
      </c>
      <c r="C113" s="2">
        <f t="shared" si="1"/>
        <v>17</v>
      </c>
      <c r="D113" t="s">
        <v>336</v>
      </c>
    </row>
    <row r="114" spans="2:4" x14ac:dyDescent="0.25">
      <c r="B114" s="9">
        <v>44537</v>
      </c>
      <c r="C114" s="2">
        <f t="shared" si="1"/>
        <v>17</v>
      </c>
      <c r="D114" t="s">
        <v>337</v>
      </c>
    </row>
    <row r="115" spans="2:4" x14ac:dyDescent="0.25">
      <c r="B115" s="9">
        <v>44538</v>
      </c>
      <c r="C115" s="2">
        <f t="shared" si="1"/>
        <v>17</v>
      </c>
      <c r="D115" t="s">
        <v>338</v>
      </c>
    </row>
    <row r="116" spans="2:4" x14ac:dyDescent="0.25">
      <c r="B116" s="9">
        <v>44539</v>
      </c>
      <c r="C116" s="2">
        <f t="shared" si="1"/>
        <v>17</v>
      </c>
      <c r="D116" t="s">
        <v>339</v>
      </c>
    </row>
    <row r="117" spans="2:4" x14ac:dyDescent="0.25">
      <c r="B117" s="9">
        <v>44540</v>
      </c>
      <c r="C117" s="2">
        <f t="shared" si="1"/>
        <v>17</v>
      </c>
      <c r="D117" t="s">
        <v>340</v>
      </c>
    </row>
    <row r="118" spans="2:4" x14ac:dyDescent="0.25">
      <c r="B118" s="9">
        <v>44541</v>
      </c>
      <c r="C118" s="2">
        <f t="shared" si="1"/>
        <v>17</v>
      </c>
      <c r="D118" t="s">
        <v>341</v>
      </c>
    </row>
    <row r="119" spans="2:4" x14ac:dyDescent="0.25">
      <c r="B119" s="9">
        <v>44542</v>
      </c>
      <c r="C119" s="2">
        <f t="shared" si="1"/>
        <v>17</v>
      </c>
      <c r="D119" t="s">
        <v>342</v>
      </c>
    </row>
    <row r="120" spans="2:4" x14ac:dyDescent="0.25">
      <c r="B120" s="9">
        <v>44543</v>
      </c>
      <c r="C120" s="2">
        <f t="shared" si="1"/>
        <v>18</v>
      </c>
      <c r="D120" t="s">
        <v>336</v>
      </c>
    </row>
    <row r="121" spans="2:4" x14ac:dyDescent="0.25">
      <c r="B121" s="9">
        <v>44544</v>
      </c>
      <c r="C121" s="2">
        <f t="shared" si="1"/>
        <v>18</v>
      </c>
      <c r="D121" t="s">
        <v>337</v>
      </c>
    </row>
    <row r="122" spans="2:4" x14ac:dyDescent="0.25">
      <c r="B122" s="9">
        <v>44545</v>
      </c>
      <c r="C122" s="2">
        <f t="shared" si="1"/>
        <v>18</v>
      </c>
      <c r="D122" t="s">
        <v>338</v>
      </c>
    </row>
    <row r="123" spans="2:4" x14ac:dyDescent="0.25">
      <c r="B123" s="9">
        <v>44546</v>
      </c>
      <c r="C123" s="2">
        <f t="shared" si="1"/>
        <v>18</v>
      </c>
      <c r="D123" t="s">
        <v>339</v>
      </c>
    </row>
    <row r="124" spans="2:4" x14ac:dyDescent="0.25">
      <c r="B124" s="9">
        <v>44547</v>
      </c>
      <c r="C124" s="2">
        <f t="shared" si="1"/>
        <v>18</v>
      </c>
      <c r="D124" t="s">
        <v>340</v>
      </c>
    </row>
    <row r="125" spans="2:4" x14ac:dyDescent="0.25">
      <c r="B125" s="9">
        <v>44548</v>
      </c>
      <c r="C125" s="2">
        <f t="shared" si="1"/>
        <v>18</v>
      </c>
      <c r="D125" t="s">
        <v>341</v>
      </c>
    </row>
    <row r="126" spans="2:4" x14ac:dyDescent="0.25">
      <c r="B126" s="9">
        <v>44549</v>
      </c>
      <c r="C126" s="2">
        <f t="shared" si="1"/>
        <v>18</v>
      </c>
      <c r="D126" t="s">
        <v>342</v>
      </c>
    </row>
    <row r="127" spans="2:4" x14ac:dyDescent="0.25">
      <c r="B127" s="9">
        <v>44550</v>
      </c>
      <c r="C127" s="2">
        <f t="shared" si="1"/>
        <v>19</v>
      </c>
      <c r="D127" t="s">
        <v>336</v>
      </c>
    </row>
    <row r="128" spans="2:4" x14ac:dyDescent="0.25">
      <c r="B128" s="9">
        <v>44551</v>
      </c>
      <c r="C128" s="2">
        <f t="shared" si="1"/>
        <v>19</v>
      </c>
      <c r="D128" t="s">
        <v>337</v>
      </c>
    </row>
    <row r="129" spans="2:4" x14ac:dyDescent="0.25">
      <c r="B129" s="9">
        <v>44552</v>
      </c>
      <c r="C129" s="2">
        <f t="shared" si="1"/>
        <v>19</v>
      </c>
      <c r="D129" t="s">
        <v>338</v>
      </c>
    </row>
    <row r="130" spans="2:4" x14ac:dyDescent="0.25">
      <c r="B130" s="9">
        <v>44553</v>
      </c>
      <c r="C130" s="2">
        <f t="shared" si="1"/>
        <v>19</v>
      </c>
      <c r="D130" t="s">
        <v>339</v>
      </c>
    </row>
    <row r="131" spans="2:4" x14ac:dyDescent="0.25">
      <c r="B131" s="9">
        <v>44554</v>
      </c>
      <c r="C131" s="2">
        <f t="shared" si="1"/>
        <v>19</v>
      </c>
      <c r="D131" t="s">
        <v>340</v>
      </c>
    </row>
    <row r="132" spans="2:4" x14ac:dyDescent="0.25">
      <c r="B132" s="9">
        <v>44555</v>
      </c>
      <c r="C132" s="2">
        <f t="shared" si="1"/>
        <v>19</v>
      </c>
      <c r="D132" t="s">
        <v>341</v>
      </c>
    </row>
    <row r="133" spans="2:4" x14ac:dyDescent="0.25">
      <c r="B133" s="9">
        <v>44556</v>
      </c>
      <c r="C133" s="2">
        <f t="shared" si="1"/>
        <v>19</v>
      </c>
      <c r="D133" t="s">
        <v>342</v>
      </c>
    </row>
    <row r="134" spans="2:4" x14ac:dyDescent="0.25">
      <c r="B134" s="9">
        <v>44557</v>
      </c>
      <c r="C134" s="2">
        <f t="shared" si="1"/>
        <v>20</v>
      </c>
      <c r="D134" t="s">
        <v>336</v>
      </c>
    </row>
    <row r="135" spans="2:4" x14ac:dyDescent="0.25">
      <c r="B135" s="9">
        <v>44558</v>
      </c>
      <c r="C135" s="2">
        <f t="shared" si="1"/>
        <v>20</v>
      </c>
      <c r="D135" t="s">
        <v>337</v>
      </c>
    </row>
    <row r="136" spans="2:4" x14ac:dyDescent="0.25">
      <c r="B136" s="9">
        <v>44559</v>
      </c>
      <c r="C136" s="2">
        <f t="shared" si="1"/>
        <v>20</v>
      </c>
      <c r="D136" t="s">
        <v>338</v>
      </c>
    </row>
    <row r="137" spans="2:4" x14ac:dyDescent="0.25">
      <c r="B137" s="9">
        <v>44560</v>
      </c>
      <c r="C137" s="2">
        <f t="shared" ref="C137:C200" si="2">C130+1</f>
        <v>20</v>
      </c>
      <c r="D137" t="s">
        <v>339</v>
      </c>
    </row>
    <row r="138" spans="2:4" x14ac:dyDescent="0.25">
      <c r="B138" s="9">
        <v>44561</v>
      </c>
      <c r="C138" s="2">
        <f t="shared" si="2"/>
        <v>20</v>
      </c>
      <c r="D138" t="s">
        <v>340</v>
      </c>
    </row>
    <row r="139" spans="2:4" x14ac:dyDescent="0.25">
      <c r="B139" s="9">
        <v>44562</v>
      </c>
      <c r="C139" s="2">
        <f t="shared" si="2"/>
        <v>20</v>
      </c>
      <c r="D139" t="s">
        <v>341</v>
      </c>
    </row>
    <row r="140" spans="2:4" x14ac:dyDescent="0.25">
      <c r="B140" s="9">
        <v>44563</v>
      </c>
      <c r="C140" s="2">
        <f t="shared" si="2"/>
        <v>20</v>
      </c>
      <c r="D140" t="s">
        <v>342</v>
      </c>
    </row>
    <row r="141" spans="2:4" x14ac:dyDescent="0.25">
      <c r="B141" s="9">
        <v>44564</v>
      </c>
      <c r="C141" s="2">
        <f t="shared" si="2"/>
        <v>21</v>
      </c>
      <c r="D141" t="s">
        <v>336</v>
      </c>
    </row>
    <row r="142" spans="2:4" x14ac:dyDescent="0.25">
      <c r="B142" s="9">
        <v>44565</v>
      </c>
      <c r="C142" s="2">
        <f t="shared" si="2"/>
        <v>21</v>
      </c>
      <c r="D142" t="s">
        <v>337</v>
      </c>
    </row>
    <row r="143" spans="2:4" x14ac:dyDescent="0.25">
      <c r="B143" s="9">
        <v>44566</v>
      </c>
      <c r="C143" s="2">
        <f t="shared" si="2"/>
        <v>21</v>
      </c>
      <c r="D143" t="s">
        <v>338</v>
      </c>
    </row>
    <row r="144" spans="2:4" x14ac:dyDescent="0.25">
      <c r="B144" s="9">
        <v>44567</v>
      </c>
      <c r="C144" s="2">
        <f t="shared" si="2"/>
        <v>21</v>
      </c>
      <c r="D144" t="s">
        <v>339</v>
      </c>
    </row>
    <row r="145" spans="2:4" x14ac:dyDescent="0.25">
      <c r="B145" s="9">
        <v>44568</v>
      </c>
      <c r="C145" s="2">
        <f t="shared" si="2"/>
        <v>21</v>
      </c>
      <c r="D145" t="s">
        <v>340</v>
      </c>
    </row>
    <row r="146" spans="2:4" x14ac:dyDescent="0.25">
      <c r="B146" s="9">
        <v>44569</v>
      </c>
      <c r="C146" s="2">
        <f t="shared" si="2"/>
        <v>21</v>
      </c>
      <c r="D146" t="s">
        <v>341</v>
      </c>
    </row>
    <row r="147" spans="2:4" x14ac:dyDescent="0.25">
      <c r="B147" s="9">
        <v>44570</v>
      </c>
      <c r="C147" s="2">
        <f t="shared" si="2"/>
        <v>21</v>
      </c>
      <c r="D147" t="s">
        <v>342</v>
      </c>
    </row>
    <row r="148" spans="2:4" x14ac:dyDescent="0.25">
      <c r="B148" s="9">
        <v>44571</v>
      </c>
      <c r="C148" s="2">
        <f t="shared" si="2"/>
        <v>22</v>
      </c>
      <c r="D148" t="s">
        <v>336</v>
      </c>
    </row>
    <row r="149" spans="2:4" x14ac:dyDescent="0.25">
      <c r="B149" s="9">
        <v>44572</v>
      </c>
      <c r="C149" s="2">
        <f t="shared" si="2"/>
        <v>22</v>
      </c>
      <c r="D149" t="s">
        <v>337</v>
      </c>
    </row>
    <row r="150" spans="2:4" x14ac:dyDescent="0.25">
      <c r="B150" s="9">
        <v>44573</v>
      </c>
      <c r="C150" s="2">
        <f t="shared" si="2"/>
        <v>22</v>
      </c>
      <c r="D150" t="s">
        <v>338</v>
      </c>
    </row>
    <row r="151" spans="2:4" x14ac:dyDescent="0.25">
      <c r="B151" s="9">
        <v>44574</v>
      </c>
      <c r="C151" s="2">
        <f t="shared" si="2"/>
        <v>22</v>
      </c>
      <c r="D151" t="s">
        <v>339</v>
      </c>
    </row>
    <row r="152" spans="2:4" x14ac:dyDescent="0.25">
      <c r="B152" s="9">
        <v>44575</v>
      </c>
      <c r="C152" s="2">
        <f t="shared" si="2"/>
        <v>22</v>
      </c>
      <c r="D152" t="s">
        <v>340</v>
      </c>
    </row>
    <row r="153" spans="2:4" x14ac:dyDescent="0.25">
      <c r="B153" s="9">
        <v>44576</v>
      </c>
      <c r="C153" s="2">
        <f t="shared" si="2"/>
        <v>22</v>
      </c>
      <c r="D153" t="s">
        <v>341</v>
      </c>
    </row>
    <row r="154" spans="2:4" x14ac:dyDescent="0.25">
      <c r="B154" s="9">
        <v>44577</v>
      </c>
      <c r="C154" s="2">
        <f t="shared" si="2"/>
        <v>22</v>
      </c>
      <c r="D154" t="s">
        <v>342</v>
      </c>
    </row>
    <row r="155" spans="2:4" x14ac:dyDescent="0.25">
      <c r="B155" s="9">
        <v>44578</v>
      </c>
      <c r="C155" s="2">
        <f t="shared" si="2"/>
        <v>23</v>
      </c>
      <c r="D155" t="s">
        <v>336</v>
      </c>
    </row>
    <row r="156" spans="2:4" x14ac:dyDescent="0.25">
      <c r="B156" s="9">
        <v>44579</v>
      </c>
      <c r="C156" s="2">
        <f t="shared" si="2"/>
        <v>23</v>
      </c>
      <c r="D156" t="s">
        <v>337</v>
      </c>
    </row>
    <row r="157" spans="2:4" x14ac:dyDescent="0.25">
      <c r="B157" s="9">
        <v>44580</v>
      </c>
      <c r="C157" s="2">
        <f t="shared" si="2"/>
        <v>23</v>
      </c>
      <c r="D157" t="s">
        <v>338</v>
      </c>
    </row>
    <row r="158" spans="2:4" x14ac:dyDescent="0.25">
      <c r="B158" s="9">
        <v>44581</v>
      </c>
      <c r="C158" s="2">
        <f t="shared" si="2"/>
        <v>23</v>
      </c>
      <c r="D158" t="s">
        <v>339</v>
      </c>
    </row>
    <row r="159" spans="2:4" x14ac:dyDescent="0.25">
      <c r="B159" s="9">
        <v>44582</v>
      </c>
      <c r="C159" s="2">
        <f t="shared" si="2"/>
        <v>23</v>
      </c>
      <c r="D159" t="s">
        <v>340</v>
      </c>
    </row>
    <row r="160" spans="2:4" x14ac:dyDescent="0.25">
      <c r="B160" s="9">
        <v>44583</v>
      </c>
      <c r="C160" s="2">
        <f t="shared" si="2"/>
        <v>23</v>
      </c>
      <c r="D160" t="s">
        <v>341</v>
      </c>
    </row>
    <row r="161" spans="2:4" x14ac:dyDescent="0.25">
      <c r="B161" s="9">
        <v>44584</v>
      </c>
      <c r="C161" s="2">
        <f t="shared" si="2"/>
        <v>23</v>
      </c>
      <c r="D161" t="s">
        <v>342</v>
      </c>
    </row>
    <row r="162" spans="2:4" x14ac:dyDescent="0.25">
      <c r="B162" s="9">
        <v>44585</v>
      </c>
      <c r="C162" s="2">
        <f t="shared" si="2"/>
        <v>24</v>
      </c>
      <c r="D162" t="s">
        <v>336</v>
      </c>
    </row>
    <row r="163" spans="2:4" x14ac:dyDescent="0.25">
      <c r="B163" s="9">
        <v>44586</v>
      </c>
      <c r="C163" s="2">
        <f t="shared" si="2"/>
        <v>24</v>
      </c>
      <c r="D163" t="s">
        <v>337</v>
      </c>
    </row>
    <row r="164" spans="2:4" x14ac:dyDescent="0.25">
      <c r="B164" s="9">
        <v>44587</v>
      </c>
      <c r="C164" s="2">
        <f t="shared" si="2"/>
        <v>24</v>
      </c>
      <c r="D164" t="s">
        <v>338</v>
      </c>
    </row>
    <row r="165" spans="2:4" x14ac:dyDescent="0.25">
      <c r="B165" s="9">
        <v>44588</v>
      </c>
      <c r="C165" s="2">
        <f t="shared" si="2"/>
        <v>24</v>
      </c>
      <c r="D165" t="s">
        <v>339</v>
      </c>
    </row>
    <row r="166" spans="2:4" x14ac:dyDescent="0.25">
      <c r="B166" s="9">
        <v>44589</v>
      </c>
      <c r="C166" s="2">
        <f t="shared" si="2"/>
        <v>24</v>
      </c>
      <c r="D166" t="s">
        <v>340</v>
      </c>
    </row>
    <row r="167" spans="2:4" x14ac:dyDescent="0.25">
      <c r="B167" s="9">
        <v>44590</v>
      </c>
      <c r="C167" s="2">
        <f t="shared" si="2"/>
        <v>24</v>
      </c>
      <c r="D167" t="s">
        <v>341</v>
      </c>
    </row>
    <row r="168" spans="2:4" x14ac:dyDescent="0.25">
      <c r="B168" s="9">
        <v>44591</v>
      </c>
      <c r="C168" s="2">
        <f t="shared" si="2"/>
        <v>24</v>
      </c>
      <c r="D168" t="s">
        <v>342</v>
      </c>
    </row>
    <row r="169" spans="2:4" x14ac:dyDescent="0.25">
      <c r="B169" s="9">
        <v>44592</v>
      </c>
      <c r="C169" s="2">
        <f t="shared" si="2"/>
        <v>25</v>
      </c>
      <c r="D169" t="s">
        <v>336</v>
      </c>
    </row>
    <row r="170" spans="2:4" x14ac:dyDescent="0.25">
      <c r="B170" s="9">
        <v>44593</v>
      </c>
      <c r="C170" s="2">
        <f t="shared" si="2"/>
        <v>25</v>
      </c>
      <c r="D170" t="s">
        <v>337</v>
      </c>
    </row>
    <row r="171" spans="2:4" x14ac:dyDescent="0.25">
      <c r="B171" s="9">
        <v>44594</v>
      </c>
      <c r="C171" s="2">
        <f t="shared" si="2"/>
        <v>25</v>
      </c>
      <c r="D171" t="s">
        <v>338</v>
      </c>
    </row>
    <row r="172" spans="2:4" x14ac:dyDescent="0.25">
      <c r="B172" s="9">
        <v>44595</v>
      </c>
      <c r="C172" s="2">
        <f t="shared" si="2"/>
        <v>25</v>
      </c>
      <c r="D172" t="s">
        <v>339</v>
      </c>
    </row>
    <row r="173" spans="2:4" x14ac:dyDescent="0.25">
      <c r="B173" s="9">
        <v>44596</v>
      </c>
      <c r="C173" s="2">
        <f t="shared" si="2"/>
        <v>25</v>
      </c>
      <c r="D173" t="s">
        <v>340</v>
      </c>
    </row>
    <row r="174" spans="2:4" x14ac:dyDescent="0.25">
      <c r="B174" s="9">
        <v>44597</v>
      </c>
      <c r="C174" s="2">
        <f t="shared" si="2"/>
        <v>25</v>
      </c>
      <c r="D174" t="s">
        <v>341</v>
      </c>
    </row>
    <row r="175" spans="2:4" x14ac:dyDescent="0.25">
      <c r="B175" s="9">
        <v>44598</v>
      </c>
      <c r="C175" s="2">
        <f t="shared" si="2"/>
        <v>25</v>
      </c>
      <c r="D175" t="s">
        <v>342</v>
      </c>
    </row>
    <row r="176" spans="2:4" x14ac:dyDescent="0.25">
      <c r="B176" s="9">
        <v>44599</v>
      </c>
      <c r="C176" s="2">
        <f t="shared" si="2"/>
        <v>26</v>
      </c>
      <c r="D176" t="s">
        <v>336</v>
      </c>
    </row>
    <row r="177" spans="2:4" x14ac:dyDescent="0.25">
      <c r="B177" s="9">
        <v>44600</v>
      </c>
      <c r="C177" s="2">
        <f t="shared" si="2"/>
        <v>26</v>
      </c>
      <c r="D177" t="s">
        <v>337</v>
      </c>
    </row>
    <row r="178" spans="2:4" x14ac:dyDescent="0.25">
      <c r="B178" s="9">
        <v>44601</v>
      </c>
      <c r="C178" s="2">
        <f t="shared" si="2"/>
        <v>26</v>
      </c>
      <c r="D178" t="s">
        <v>338</v>
      </c>
    </row>
    <row r="179" spans="2:4" x14ac:dyDescent="0.25">
      <c r="B179" s="9">
        <v>44602</v>
      </c>
      <c r="C179" s="2">
        <f t="shared" si="2"/>
        <v>26</v>
      </c>
      <c r="D179" t="s">
        <v>339</v>
      </c>
    </row>
    <row r="180" spans="2:4" x14ac:dyDescent="0.25">
      <c r="B180" s="9">
        <v>44603</v>
      </c>
      <c r="C180" s="2">
        <f t="shared" si="2"/>
        <v>26</v>
      </c>
      <c r="D180" t="s">
        <v>340</v>
      </c>
    </row>
    <row r="181" spans="2:4" x14ac:dyDescent="0.25">
      <c r="B181" s="9">
        <v>44604</v>
      </c>
      <c r="C181" s="2">
        <f t="shared" si="2"/>
        <v>26</v>
      </c>
      <c r="D181" t="s">
        <v>341</v>
      </c>
    </row>
    <row r="182" spans="2:4" x14ac:dyDescent="0.25">
      <c r="B182" s="9">
        <v>44605</v>
      </c>
      <c r="C182" s="2">
        <f t="shared" si="2"/>
        <v>26</v>
      </c>
      <c r="D182" t="s">
        <v>342</v>
      </c>
    </row>
    <row r="183" spans="2:4" x14ac:dyDescent="0.25">
      <c r="B183" s="9">
        <v>44606</v>
      </c>
      <c r="C183" s="2">
        <f t="shared" si="2"/>
        <v>27</v>
      </c>
      <c r="D183" t="s">
        <v>336</v>
      </c>
    </row>
    <row r="184" spans="2:4" x14ac:dyDescent="0.25">
      <c r="B184" s="9">
        <v>44607</v>
      </c>
      <c r="C184" s="2">
        <f t="shared" si="2"/>
        <v>27</v>
      </c>
      <c r="D184" t="s">
        <v>337</v>
      </c>
    </row>
    <row r="185" spans="2:4" x14ac:dyDescent="0.25">
      <c r="B185" s="9">
        <v>44608</v>
      </c>
      <c r="C185" s="2">
        <f t="shared" si="2"/>
        <v>27</v>
      </c>
      <c r="D185" t="s">
        <v>338</v>
      </c>
    </row>
    <row r="186" spans="2:4" x14ac:dyDescent="0.25">
      <c r="B186" s="9">
        <v>44609</v>
      </c>
      <c r="C186" s="2">
        <f t="shared" si="2"/>
        <v>27</v>
      </c>
      <c r="D186" t="s">
        <v>339</v>
      </c>
    </row>
    <row r="187" spans="2:4" x14ac:dyDescent="0.25">
      <c r="B187" s="9">
        <v>44610</v>
      </c>
      <c r="C187" s="2">
        <f t="shared" si="2"/>
        <v>27</v>
      </c>
      <c r="D187" t="s">
        <v>340</v>
      </c>
    </row>
    <row r="188" spans="2:4" x14ac:dyDescent="0.25">
      <c r="B188" s="9">
        <v>44611</v>
      </c>
      <c r="C188" s="2">
        <f t="shared" si="2"/>
        <v>27</v>
      </c>
      <c r="D188" t="s">
        <v>341</v>
      </c>
    </row>
    <row r="189" spans="2:4" x14ac:dyDescent="0.25">
      <c r="B189" s="9">
        <v>44612</v>
      </c>
      <c r="C189" s="2">
        <f t="shared" si="2"/>
        <v>27</v>
      </c>
      <c r="D189" t="s">
        <v>342</v>
      </c>
    </row>
    <row r="190" spans="2:4" x14ac:dyDescent="0.25">
      <c r="B190" s="9">
        <v>44613</v>
      </c>
      <c r="C190" s="2">
        <f t="shared" si="2"/>
        <v>28</v>
      </c>
      <c r="D190" t="s">
        <v>336</v>
      </c>
    </row>
    <row r="191" spans="2:4" x14ac:dyDescent="0.25">
      <c r="B191" s="9">
        <v>44614</v>
      </c>
      <c r="C191" s="2">
        <f t="shared" si="2"/>
        <v>28</v>
      </c>
      <c r="D191" t="s">
        <v>337</v>
      </c>
    </row>
    <row r="192" spans="2:4" x14ac:dyDescent="0.25">
      <c r="B192" s="9">
        <v>44615</v>
      </c>
      <c r="C192" s="2">
        <f t="shared" si="2"/>
        <v>28</v>
      </c>
      <c r="D192" t="s">
        <v>338</v>
      </c>
    </row>
    <row r="193" spans="2:4" x14ac:dyDescent="0.25">
      <c r="B193" s="9">
        <v>44616</v>
      </c>
      <c r="C193" s="2">
        <f t="shared" si="2"/>
        <v>28</v>
      </c>
      <c r="D193" t="s">
        <v>339</v>
      </c>
    </row>
    <row r="194" spans="2:4" x14ac:dyDescent="0.25">
      <c r="B194" s="9">
        <v>44617</v>
      </c>
      <c r="C194" s="2">
        <f t="shared" si="2"/>
        <v>28</v>
      </c>
      <c r="D194" t="s">
        <v>340</v>
      </c>
    </row>
    <row r="195" spans="2:4" x14ac:dyDescent="0.25">
      <c r="B195" s="9">
        <v>44618</v>
      </c>
      <c r="C195" s="2">
        <f t="shared" si="2"/>
        <v>28</v>
      </c>
      <c r="D195" t="s">
        <v>341</v>
      </c>
    </row>
    <row r="196" spans="2:4" x14ac:dyDescent="0.25">
      <c r="B196" s="9">
        <v>44619</v>
      </c>
      <c r="C196" s="2">
        <f t="shared" si="2"/>
        <v>28</v>
      </c>
      <c r="D196" t="s">
        <v>342</v>
      </c>
    </row>
    <row r="197" spans="2:4" x14ac:dyDescent="0.25">
      <c r="B197" s="9">
        <v>44620</v>
      </c>
      <c r="C197" s="2">
        <f t="shared" si="2"/>
        <v>29</v>
      </c>
      <c r="D197" t="s">
        <v>336</v>
      </c>
    </row>
    <row r="198" spans="2:4" x14ac:dyDescent="0.25">
      <c r="B198" s="9">
        <v>44621</v>
      </c>
      <c r="C198" s="2">
        <f t="shared" si="2"/>
        <v>29</v>
      </c>
      <c r="D198" t="s">
        <v>337</v>
      </c>
    </row>
    <row r="199" spans="2:4" x14ac:dyDescent="0.25">
      <c r="B199" s="9">
        <v>44622</v>
      </c>
      <c r="C199" s="2">
        <f t="shared" si="2"/>
        <v>29</v>
      </c>
      <c r="D199" t="s">
        <v>338</v>
      </c>
    </row>
    <row r="200" spans="2:4" x14ac:dyDescent="0.25">
      <c r="B200" s="9">
        <v>44623</v>
      </c>
      <c r="C200" s="2">
        <f t="shared" si="2"/>
        <v>29</v>
      </c>
      <c r="D200" t="s">
        <v>339</v>
      </c>
    </row>
    <row r="201" spans="2:4" x14ac:dyDescent="0.25">
      <c r="B201" s="9">
        <v>44624</v>
      </c>
      <c r="C201" s="2">
        <f t="shared" ref="C201:C264" si="3">C194+1</f>
        <v>29</v>
      </c>
      <c r="D201" t="s">
        <v>340</v>
      </c>
    </row>
    <row r="202" spans="2:4" x14ac:dyDescent="0.25">
      <c r="B202" s="9">
        <v>44625</v>
      </c>
      <c r="C202" s="2">
        <f t="shared" si="3"/>
        <v>29</v>
      </c>
      <c r="D202" t="s">
        <v>341</v>
      </c>
    </row>
    <row r="203" spans="2:4" x14ac:dyDescent="0.25">
      <c r="B203" s="9">
        <v>44626</v>
      </c>
      <c r="C203" s="2">
        <f t="shared" si="3"/>
        <v>29</v>
      </c>
      <c r="D203" t="s">
        <v>342</v>
      </c>
    </row>
    <row r="204" spans="2:4" x14ac:dyDescent="0.25">
      <c r="B204" s="9">
        <v>44627</v>
      </c>
      <c r="C204" s="2">
        <f t="shared" si="3"/>
        <v>30</v>
      </c>
      <c r="D204" t="s">
        <v>336</v>
      </c>
    </row>
    <row r="205" spans="2:4" x14ac:dyDescent="0.25">
      <c r="B205" s="9">
        <v>44628</v>
      </c>
      <c r="C205" s="2">
        <f t="shared" si="3"/>
        <v>30</v>
      </c>
      <c r="D205" t="s">
        <v>337</v>
      </c>
    </row>
    <row r="206" spans="2:4" x14ac:dyDescent="0.25">
      <c r="B206" s="9">
        <v>44629</v>
      </c>
      <c r="C206" s="2">
        <f t="shared" si="3"/>
        <v>30</v>
      </c>
      <c r="D206" t="s">
        <v>338</v>
      </c>
    </row>
    <row r="207" spans="2:4" x14ac:dyDescent="0.25">
      <c r="B207" s="9">
        <v>44630</v>
      </c>
      <c r="C207" s="2">
        <f t="shared" si="3"/>
        <v>30</v>
      </c>
      <c r="D207" t="s">
        <v>339</v>
      </c>
    </row>
    <row r="208" spans="2:4" x14ac:dyDescent="0.25">
      <c r="B208" s="9">
        <v>44631</v>
      </c>
      <c r="C208" s="2">
        <f t="shared" si="3"/>
        <v>30</v>
      </c>
      <c r="D208" t="s">
        <v>340</v>
      </c>
    </row>
    <row r="209" spans="2:4" x14ac:dyDescent="0.25">
      <c r="B209" s="9">
        <v>44632</v>
      </c>
      <c r="C209" s="2">
        <f t="shared" si="3"/>
        <v>30</v>
      </c>
      <c r="D209" t="s">
        <v>341</v>
      </c>
    </row>
    <row r="210" spans="2:4" x14ac:dyDescent="0.25">
      <c r="B210" s="9">
        <v>44633</v>
      </c>
      <c r="C210" s="2">
        <f t="shared" si="3"/>
        <v>30</v>
      </c>
      <c r="D210" t="s">
        <v>342</v>
      </c>
    </row>
    <row r="211" spans="2:4" x14ac:dyDescent="0.25">
      <c r="B211" s="9">
        <v>44634</v>
      </c>
      <c r="C211" s="2">
        <f t="shared" si="3"/>
        <v>31</v>
      </c>
      <c r="D211" t="s">
        <v>336</v>
      </c>
    </row>
    <row r="212" spans="2:4" x14ac:dyDescent="0.25">
      <c r="B212" s="9">
        <v>44635</v>
      </c>
      <c r="C212" s="2">
        <f t="shared" si="3"/>
        <v>31</v>
      </c>
      <c r="D212" t="s">
        <v>337</v>
      </c>
    </row>
    <row r="213" spans="2:4" x14ac:dyDescent="0.25">
      <c r="B213" s="9">
        <v>44636</v>
      </c>
      <c r="C213" s="2">
        <f t="shared" si="3"/>
        <v>31</v>
      </c>
      <c r="D213" t="s">
        <v>338</v>
      </c>
    </row>
    <row r="214" spans="2:4" x14ac:dyDescent="0.25">
      <c r="B214" s="9">
        <v>44637</v>
      </c>
      <c r="C214" s="2">
        <f t="shared" si="3"/>
        <v>31</v>
      </c>
      <c r="D214" t="s">
        <v>339</v>
      </c>
    </row>
    <row r="215" spans="2:4" x14ac:dyDescent="0.25">
      <c r="B215" s="9">
        <v>44638</v>
      </c>
      <c r="C215" s="2">
        <f t="shared" si="3"/>
        <v>31</v>
      </c>
      <c r="D215" t="s">
        <v>340</v>
      </c>
    </row>
    <row r="216" spans="2:4" x14ac:dyDescent="0.25">
      <c r="B216" s="9">
        <v>44639</v>
      </c>
      <c r="C216" s="2">
        <f t="shared" si="3"/>
        <v>31</v>
      </c>
      <c r="D216" t="s">
        <v>341</v>
      </c>
    </row>
    <row r="217" spans="2:4" x14ac:dyDescent="0.25">
      <c r="B217" s="9">
        <v>44640</v>
      </c>
      <c r="C217" s="2">
        <f t="shared" si="3"/>
        <v>31</v>
      </c>
      <c r="D217" t="s">
        <v>342</v>
      </c>
    </row>
    <row r="218" spans="2:4" x14ac:dyDescent="0.25">
      <c r="B218" s="9">
        <v>44641</v>
      </c>
      <c r="C218" s="2">
        <f t="shared" si="3"/>
        <v>32</v>
      </c>
      <c r="D218" t="s">
        <v>336</v>
      </c>
    </row>
    <row r="219" spans="2:4" x14ac:dyDescent="0.25">
      <c r="B219" s="9">
        <v>44642</v>
      </c>
      <c r="C219" s="2">
        <f t="shared" si="3"/>
        <v>32</v>
      </c>
      <c r="D219" t="s">
        <v>337</v>
      </c>
    </row>
    <row r="220" spans="2:4" x14ac:dyDescent="0.25">
      <c r="B220" s="9">
        <v>44643</v>
      </c>
      <c r="C220" s="2">
        <f t="shared" si="3"/>
        <v>32</v>
      </c>
      <c r="D220" t="s">
        <v>338</v>
      </c>
    </row>
    <row r="221" spans="2:4" x14ac:dyDescent="0.25">
      <c r="B221" s="9">
        <v>44644</v>
      </c>
      <c r="C221" s="2">
        <f t="shared" si="3"/>
        <v>32</v>
      </c>
      <c r="D221" t="s">
        <v>339</v>
      </c>
    </row>
    <row r="222" spans="2:4" x14ac:dyDescent="0.25">
      <c r="B222" s="9">
        <v>44645</v>
      </c>
      <c r="C222" s="2">
        <f t="shared" si="3"/>
        <v>32</v>
      </c>
      <c r="D222" t="s">
        <v>340</v>
      </c>
    </row>
    <row r="223" spans="2:4" x14ac:dyDescent="0.25">
      <c r="B223" s="9">
        <v>44646</v>
      </c>
      <c r="C223" s="2">
        <f t="shared" si="3"/>
        <v>32</v>
      </c>
      <c r="D223" t="s">
        <v>341</v>
      </c>
    </row>
    <row r="224" spans="2:4" x14ac:dyDescent="0.25">
      <c r="B224" s="9">
        <v>44647</v>
      </c>
      <c r="C224" s="2">
        <f t="shared" si="3"/>
        <v>32</v>
      </c>
      <c r="D224" t="s">
        <v>342</v>
      </c>
    </row>
    <row r="225" spans="2:4" x14ac:dyDescent="0.25">
      <c r="B225" s="9">
        <v>44648</v>
      </c>
      <c r="C225" s="2">
        <f t="shared" si="3"/>
        <v>33</v>
      </c>
      <c r="D225" t="s">
        <v>336</v>
      </c>
    </row>
    <row r="226" spans="2:4" x14ac:dyDescent="0.25">
      <c r="B226" s="9">
        <v>44649</v>
      </c>
      <c r="C226" s="2">
        <f t="shared" si="3"/>
        <v>33</v>
      </c>
      <c r="D226" t="s">
        <v>337</v>
      </c>
    </row>
    <row r="227" spans="2:4" x14ac:dyDescent="0.25">
      <c r="B227" s="9">
        <v>44650</v>
      </c>
      <c r="C227" s="2">
        <f t="shared" si="3"/>
        <v>33</v>
      </c>
      <c r="D227" t="s">
        <v>338</v>
      </c>
    </row>
    <row r="228" spans="2:4" x14ac:dyDescent="0.25">
      <c r="B228" s="9">
        <v>44651</v>
      </c>
      <c r="C228" s="2">
        <f t="shared" si="3"/>
        <v>33</v>
      </c>
      <c r="D228" t="s">
        <v>339</v>
      </c>
    </row>
    <row r="229" spans="2:4" x14ac:dyDescent="0.25">
      <c r="B229" s="9">
        <v>44652</v>
      </c>
      <c r="C229" s="2">
        <f t="shared" si="3"/>
        <v>33</v>
      </c>
      <c r="D229" t="s">
        <v>340</v>
      </c>
    </row>
    <row r="230" spans="2:4" x14ac:dyDescent="0.25">
      <c r="B230" s="9">
        <v>44653</v>
      </c>
      <c r="C230" s="2">
        <f t="shared" si="3"/>
        <v>33</v>
      </c>
      <c r="D230" t="s">
        <v>341</v>
      </c>
    </row>
    <row r="231" spans="2:4" x14ac:dyDescent="0.25">
      <c r="B231" s="9">
        <v>44654</v>
      </c>
      <c r="C231" s="2">
        <f t="shared" si="3"/>
        <v>33</v>
      </c>
      <c r="D231" t="s">
        <v>342</v>
      </c>
    </row>
    <row r="232" spans="2:4" x14ac:dyDescent="0.25">
      <c r="B232" s="9">
        <v>44655</v>
      </c>
      <c r="C232" s="2">
        <f t="shared" si="3"/>
        <v>34</v>
      </c>
      <c r="D232" t="s">
        <v>336</v>
      </c>
    </row>
    <row r="233" spans="2:4" x14ac:dyDescent="0.25">
      <c r="B233" s="9">
        <v>44656</v>
      </c>
      <c r="C233" s="2">
        <f t="shared" si="3"/>
        <v>34</v>
      </c>
      <c r="D233" t="s">
        <v>337</v>
      </c>
    </row>
    <row r="234" spans="2:4" x14ac:dyDescent="0.25">
      <c r="B234" s="9">
        <v>44657</v>
      </c>
      <c r="C234" s="2">
        <f t="shared" si="3"/>
        <v>34</v>
      </c>
      <c r="D234" t="s">
        <v>338</v>
      </c>
    </row>
    <row r="235" spans="2:4" x14ac:dyDescent="0.25">
      <c r="B235" s="9">
        <v>44658</v>
      </c>
      <c r="C235" s="2">
        <f t="shared" si="3"/>
        <v>34</v>
      </c>
      <c r="D235" t="s">
        <v>339</v>
      </c>
    </row>
    <row r="236" spans="2:4" x14ac:dyDescent="0.25">
      <c r="B236" s="9">
        <v>44659</v>
      </c>
      <c r="C236" s="2">
        <f t="shared" si="3"/>
        <v>34</v>
      </c>
      <c r="D236" t="s">
        <v>340</v>
      </c>
    </row>
    <row r="237" spans="2:4" x14ac:dyDescent="0.25">
      <c r="B237" s="9">
        <v>44660</v>
      </c>
      <c r="C237" s="2">
        <f t="shared" si="3"/>
        <v>34</v>
      </c>
      <c r="D237" t="s">
        <v>341</v>
      </c>
    </row>
    <row r="238" spans="2:4" x14ac:dyDescent="0.25">
      <c r="B238" s="9">
        <v>44661</v>
      </c>
      <c r="C238" s="2">
        <f t="shared" si="3"/>
        <v>34</v>
      </c>
      <c r="D238" t="s">
        <v>342</v>
      </c>
    </row>
    <row r="239" spans="2:4" x14ac:dyDescent="0.25">
      <c r="B239" s="9">
        <v>44662</v>
      </c>
      <c r="C239" s="2">
        <f t="shared" si="3"/>
        <v>35</v>
      </c>
      <c r="D239" t="s">
        <v>336</v>
      </c>
    </row>
    <row r="240" spans="2:4" x14ac:dyDescent="0.25">
      <c r="B240" s="9">
        <v>44663</v>
      </c>
      <c r="C240" s="2">
        <f t="shared" si="3"/>
        <v>35</v>
      </c>
      <c r="D240" t="s">
        <v>337</v>
      </c>
    </row>
    <row r="241" spans="2:4" x14ac:dyDescent="0.25">
      <c r="B241" s="9">
        <v>44664</v>
      </c>
      <c r="C241" s="2">
        <f t="shared" si="3"/>
        <v>35</v>
      </c>
      <c r="D241" t="s">
        <v>338</v>
      </c>
    </row>
    <row r="242" spans="2:4" x14ac:dyDescent="0.25">
      <c r="B242" s="9">
        <v>44665</v>
      </c>
      <c r="C242" s="2">
        <f t="shared" si="3"/>
        <v>35</v>
      </c>
      <c r="D242" t="s">
        <v>339</v>
      </c>
    </row>
    <row r="243" spans="2:4" x14ac:dyDescent="0.25">
      <c r="B243" s="9">
        <v>44666</v>
      </c>
      <c r="C243" s="2">
        <f t="shared" si="3"/>
        <v>35</v>
      </c>
      <c r="D243" t="s">
        <v>340</v>
      </c>
    </row>
    <row r="244" spans="2:4" x14ac:dyDescent="0.25">
      <c r="B244" s="9">
        <v>44667</v>
      </c>
      <c r="C244" s="2">
        <f t="shared" si="3"/>
        <v>35</v>
      </c>
      <c r="D244" t="s">
        <v>341</v>
      </c>
    </row>
    <row r="245" spans="2:4" x14ac:dyDescent="0.25">
      <c r="B245" s="9">
        <v>44668</v>
      </c>
      <c r="C245" s="2">
        <f t="shared" si="3"/>
        <v>35</v>
      </c>
      <c r="D245" t="s">
        <v>342</v>
      </c>
    </row>
    <row r="246" spans="2:4" x14ac:dyDescent="0.25">
      <c r="B246" s="9">
        <v>44669</v>
      </c>
      <c r="C246" s="2">
        <f t="shared" si="3"/>
        <v>36</v>
      </c>
      <c r="D246" t="s">
        <v>336</v>
      </c>
    </row>
    <row r="247" spans="2:4" x14ac:dyDescent="0.25">
      <c r="B247" s="9">
        <v>44670</v>
      </c>
      <c r="C247" s="2">
        <f t="shared" si="3"/>
        <v>36</v>
      </c>
      <c r="D247" t="s">
        <v>337</v>
      </c>
    </row>
    <row r="248" spans="2:4" x14ac:dyDescent="0.25">
      <c r="B248" s="9">
        <v>44671</v>
      </c>
      <c r="C248" s="2">
        <f t="shared" si="3"/>
        <v>36</v>
      </c>
      <c r="D248" t="s">
        <v>338</v>
      </c>
    </row>
    <row r="249" spans="2:4" x14ac:dyDescent="0.25">
      <c r="B249" s="9">
        <v>44672</v>
      </c>
      <c r="C249" s="2">
        <f t="shared" si="3"/>
        <v>36</v>
      </c>
      <c r="D249" t="s">
        <v>339</v>
      </c>
    </row>
    <row r="250" spans="2:4" x14ac:dyDescent="0.25">
      <c r="B250" s="9">
        <v>44673</v>
      </c>
      <c r="C250" s="2">
        <f t="shared" si="3"/>
        <v>36</v>
      </c>
      <c r="D250" t="s">
        <v>340</v>
      </c>
    </row>
    <row r="251" spans="2:4" x14ac:dyDescent="0.25">
      <c r="B251" s="9">
        <v>44674</v>
      </c>
      <c r="C251" s="2">
        <f t="shared" si="3"/>
        <v>36</v>
      </c>
      <c r="D251" t="s">
        <v>341</v>
      </c>
    </row>
    <row r="252" spans="2:4" x14ac:dyDescent="0.25">
      <c r="B252" s="9">
        <v>44675</v>
      </c>
      <c r="C252" s="2">
        <f t="shared" si="3"/>
        <v>36</v>
      </c>
      <c r="D252" t="s">
        <v>342</v>
      </c>
    </row>
    <row r="253" spans="2:4" x14ac:dyDescent="0.25">
      <c r="B253" s="9">
        <v>44676</v>
      </c>
      <c r="C253" s="2">
        <f t="shared" si="3"/>
        <v>37</v>
      </c>
      <c r="D253" t="s">
        <v>336</v>
      </c>
    </row>
    <row r="254" spans="2:4" x14ac:dyDescent="0.25">
      <c r="B254" s="9">
        <v>44677</v>
      </c>
      <c r="C254" s="2">
        <f t="shared" si="3"/>
        <v>37</v>
      </c>
      <c r="D254" t="s">
        <v>337</v>
      </c>
    </row>
    <row r="255" spans="2:4" x14ac:dyDescent="0.25">
      <c r="B255" s="9">
        <v>44678</v>
      </c>
      <c r="C255" s="2">
        <f t="shared" si="3"/>
        <v>37</v>
      </c>
      <c r="D255" t="s">
        <v>338</v>
      </c>
    </row>
    <row r="256" spans="2:4" x14ac:dyDescent="0.25">
      <c r="B256" s="9">
        <v>44679</v>
      </c>
      <c r="C256" s="2">
        <f t="shared" si="3"/>
        <v>37</v>
      </c>
      <c r="D256" t="s">
        <v>339</v>
      </c>
    </row>
    <row r="257" spans="2:4" x14ac:dyDescent="0.25">
      <c r="B257" s="9">
        <v>44680</v>
      </c>
      <c r="C257" s="2">
        <f t="shared" si="3"/>
        <v>37</v>
      </c>
      <c r="D257" t="s">
        <v>340</v>
      </c>
    </row>
    <row r="258" spans="2:4" x14ac:dyDescent="0.25">
      <c r="B258" s="9">
        <v>44681</v>
      </c>
      <c r="C258" s="2">
        <f t="shared" si="3"/>
        <v>37</v>
      </c>
      <c r="D258" t="s">
        <v>341</v>
      </c>
    </row>
    <row r="259" spans="2:4" x14ac:dyDescent="0.25">
      <c r="B259" s="9">
        <v>44682</v>
      </c>
      <c r="C259" s="2">
        <f t="shared" si="3"/>
        <v>37</v>
      </c>
      <c r="D259" t="s">
        <v>342</v>
      </c>
    </row>
    <row r="260" spans="2:4" x14ac:dyDescent="0.25">
      <c r="B260" s="9">
        <v>44683</v>
      </c>
      <c r="C260" s="2">
        <f t="shared" si="3"/>
        <v>38</v>
      </c>
      <c r="D260" t="s">
        <v>336</v>
      </c>
    </row>
    <row r="261" spans="2:4" x14ac:dyDescent="0.25">
      <c r="B261" s="9">
        <v>44684</v>
      </c>
      <c r="C261" s="2">
        <f t="shared" si="3"/>
        <v>38</v>
      </c>
      <c r="D261" t="s">
        <v>337</v>
      </c>
    </row>
    <row r="262" spans="2:4" x14ac:dyDescent="0.25">
      <c r="B262" s="9">
        <v>44685</v>
      </c>
      <c r="C262" s="2">
        <f t="shared" si="3"/>
        <v>38</v>
      </c>
      <c r="D262" t="s">
        <v>338</v>
      </c>
    </row>
    <row r="263" spans="2:4" x14ac:dyDescent="0.25">
      <c r="B263" s="9">
        <v>44686</v>
      </c>
      <c r="C263" s="2">
        <f t="shared" si="3"/>
        <v>38</v>
      </c>
      <c r="D263" t="s">
        <v>339</v>
      </c>
    </row>
    <row r="264" spans="2:4" x14ac:dyDescent="0.25">
      <c r="B264" s="9">
        <v>44687</v>
      </c>
      <c r="C264" s="2">
        <f t="shared" si="3"/>
        <v>38</v>
      </c>
      <c r="D264" t="s">
        <v>340</v>
      </c>
    </row>
    <row r="265" spans="2:4" x14ac:dyDescent="0.25">
      <c r="B265" s="9">
        <v>44688</v>
      </c>
      <c r="C265" s="2">
        <f t="shared" ref="C265:C301" si="4">C258+1</f>
        <v>38</v>
      </c>
      <c r="D265" t="s">
        <v>341</v>
      </c>
    </row>
    <row r="266" spans="2:4" x14ac:dyDescent="0.25">
      <c r="B266" s="9">
        <v>44689</v>
      </c>
      <c r="C266" s="2">
        <f t="shared" si="4"/>
        <v>38</v>
      </c>
      <c r="D266" t="s">
        <v>342</v>
      </c>
    </row>
    <row r="267" spans="2:4" x14ac:dyDescent="0.25">
      <c r="B267" s="9">
        <v>44690</v>
      </c>
      <c r="C267" s="2">
        <f t="shared" si="4"/>
        <v>39</v>
      </c>
      <c r="D267" t="s">
        <v>336</v>
      </c>
    </row>
    <row r="268" spans="2:4" x14ac:dyDescent="0.25">
      <c r="B268" s="9">
        <v>44691</v>
      </c>
      <c r="C268" s="2">
        <f t="shared" si="4"/>
        <v>39</v>
      </c>
      <c r="D268" t="s">
        <v>337</v>
      </c>
    </row>
    <row r="269" spans="2:4" x14ac:dyDescent="0.25">
      <c r="B269" s="9">
        <v>44692</v>
      </c>
      <c r="C269" s="2">
        <f t="shared" si="4"/>
        <v>39</v>
      </c>
      <c r="D269" t="s">
        <v>338</v>
      </c>
    </row>
    <row r="270" spans="2:4" x14ac:dyDescent="0.25">
      <c r="B270" s="9">
        <v>44693</v>
      </c>
      <c r="C270" s="2">
        <f t="shared" si="4"/>
        <v>39</v>
      </c>
      <c r="D270" t="s">
        <v>339</v>
      </c>
    </row>
    <row r="271" spans="2:4" x14ac:dyDescent="0.25">
      <c r="B271" s="9">
        <v>44694</v>
      </c>
      <c r="C271" s="2">
        <f t="shared" si="4"/>
        <v>39</v>
      </c>
      <c r="D271" t="s">
        <v>340</v>
      </c>
    </row>
    <row r="272" spans="2:4" x14ac:dyDescent="0.25">
      <c r="B272" s="9">
        <v>44695</v>
      </c>
      <c r="C272" s="2">
        <f t="shared" si="4"/>
        <v>39</v>
      </c>
      <c r="D272" t="s">
        <v>341</v>
      </c>
    </row>
    <row r="273" spans="2:4" x14ac:dyDescent="0.25">
      <c r="B273" s="9">
        <v>44696</v>
      </c>
      <c r="C273" s="2">
        <f t="shared" si="4"/>
        <v>39</v>
      </c>
      <c r="D273" t="s">
        <v>342</v>
      </c>
    </row>
    <row r="274" spans="2:4" x14ac:dyDescent="0.25">
      <c r="B274" s="9">
        <v>44697</v>
      </c>
      <c r="C274" s="2">
        <f t="shared" si="4"/>
        <v>40</v>
      </c>
      <c r="D274" t="s">
        <v>336</v>
      </c>
    </row>
    <row r="275" spans="2:4" x14ac:dyDescent="0.25">
      <c r="B275" s="9">
        <v>44698</v>
      </c>
      <c r="C275" s="2">
        <f t="shared" si="4"/>
        <v>40</v>
      </c>
      <c r="D275" t="s">
        <v>337</v>
      </c>
    </row>
    <row r="276" spans="2:4" x14ac:dyDescent="0.25">
      <c r="B276" s="9">
        <v>44699</v>
      </c>
      <c r="C276" s="2">
        <f t="shared" si="4"/>
        <v>40</v>
      </c>
      <c r="D276" t="s">
        <v>338</v>
      </c>
    </row>
    <row r="277" spans="2:4" x14ac:dyDescent="0.25">
      <c r="B277" s="9">
        <v>44700</v>
      </c>
      <c r="C277" s="2">
        <f t="shared" si="4"/>
        <v>40</v>
      </c>
      <c r="D277" t="s">
        <v>339</v>
      </c>
    </row>
    <row r="278" spans="2:4" x14ac:dyDescent="0.25">
      <c r="B278" s="9">
        <v>44701</v>
      </c>
      <c r="C278" s="2">
        <f t="shared" si="4"/>
        <v>40</v>
      </c>
      <c r="D278" t="s">
        <v>340</v>
      </c>
    </row>
    <row r="279" spans="2:4" x14ac:dyDescent="0.25">
      <c r="B279" s="9">
        <v>44702</v>
      </c>
      <c r="C279" s="2">
        <f t="shared" si="4"/>
        <v>40</v>
      </c>
      <c r="D279" t="s">
        <v>341</v>
      </c>
    </row>
    <row r="280" spans="2:4" x14ac:dyDescent="0.25">
      <c r="B280" s="9">
        <v>44703</v>
      </c>
      <c r="C280" s="2">
        <f t="shared" si="4"/>
        <v>40</v>
      </c>
      <c r="D280" t="s">
        <v>342</v>
      </c>
    </row>
    <row r="281" spans="2:4" x14ac:dyDescent="0.25">
      <c r="B281" s="9">
        <v>44704</v>
      </c>
      <c r="C281" s="2">
        <f t="shared" si="4"/>
        <v>41</v>
      </c>
      <c r="D281" t="s">
        <v>336</v>
      </c>
    </row>
    <row r="282" spans="2:4" x14ac:dyDescent="0.25">
      <c r="B282" s="9">
        <v>44705</v>
      </c>
      <c r="C282" s="2">
        <f t="shared" si="4"/>
        <v>41</v>
      </c>
      <c r="D282" t="s">
        <v>337</v>
      </c>
    </row>
    <row r="283" spans="2:4" x14ac:dyDescent="0.25">
      <c r="B283" s="9">
        <v>44706</v>
      </c>
      <c r="C283" s="2">
        <f t="shared" si="4"/>
        <v>41</v>
      </c>
      <c r="D283" t="s">
        <v>338</v>
      </c>
    </row>
    <row r="284" spans="2:4" x14ac:dyDescent="0.25">
      <c r="B284" s="9">
        <v>44707</v>
      </c>
      <c r="C284" s="2">
        <f t="shared" si="4"/>
        <v>41</v>
      </c>
      <c r="D284" t="s">
        <v>339</v>
      </c>
    </row>
    <row r="285" spans="2:4" x14ac:dyDescent="0.25">
      <c r="B285" s="9">
        <v>44708</v>
      </c>
      <c r="C285" s="2">
        <f t="shared" si="4"/>
        <v>41</v>
      </c>
      <c r="D285" t="s">
        <v>340</v>
      </c>
    </row>
    <row r="286" spans="2:4" x14ac:dyDescent="0.25">
      <c r="B286" s="9">
        <v>44709</v>
      </c>
      <c r="C286" s="2">
        <f t="shared" si="4"/>
        <v>41</v>
      </c>
      <c r="D286" t="s">
        <v>341</v>
      </c>
    </row>
    <row r="287" spans="2:4" x14ac:dyDescent="0.25">
      <c r="B287" s="9">
        <v>44710</v>
      </c>
      <c r="C287" s="2">
        <f t="shared" si="4"/>
        <v>41</v>
      </c>
      <c r="D287" t="s">
        <v>342</v>
      </c>
    </row>
    <row r="288" spans="2:4" x14ac:dyDescent="0.25">
      <c r="B288" s="9">
        <v>44711</v>
      </c>
      <c r="C288" s="2">
        <f t="shared" si="4"/>
        <v>42</v>
      </c>
      <c r="D288" t="s">
        <v>336</v>
      </c>
    </row>
    <row r="289" spans="2:4" x14ac:dyDescent="0.25">
      <c r="B289" s="9">
        <v>44712</v>
      </c>
      <c r="C289" s="2">
        <f t="shared" si="4"/>
        <v>42</v>
      </c>
      <c r="D289" t="s">
        <v>337</v>
      </c>
    </row>
    <row r="290" spans="2:4" x14ac:dyDescent="0.25">
      <c r="B290" s="9">
        <v>44713</v>
      </c>
      <c r="C290" s="2">
        <f t="shared" si="4"/>
        <v>42</v>
      </c>
      <c r="D290" t="s">
        <v>338</v>
      </c>
    </row>
    <row r="291" spans="2:4" x14ac:dyDescent="0.25">
      <c r="B291" s="9">
        <v>44714</v>
      </c>
      <c r="C291" s="2">
        <f t="shared" si="4"/>
        <v>42</v>
      </c>
      <c r="D291" t="s">
        <v>339</v>
      </c>
    </row>
    <row r="292" spans="2:4" x14ac:dyDescent="0.25">
      <c r="B292" s="9">
        <v>44715</v>
      </c>
      <c r="C292" s="2">
        <f t="shared" si="4"/>
        <v>42</v>
      </c>
      <c r="D292" t="s">
        <v>340</v>
      </c>
    </row>
    <row r="293" spans="2:4" x14ac:dyDescent="0.25">
      <c r="B293" s="9">
        <v>44716</v>
      </c>
      <c r="C293" s="2">
        <f t="shared" si="4"/>
        <v>42</v>
      </c>
      <c r="D293" t="s">
        <v>341</v>
      </c>
    </row>
    <row r="294" spans="2:4" x14ac:dyDescent="0.25">
      <c r="B294" s="9">
        <v>44717</v>
      </c>
      <c r="C294" s="2">
        <f t="shared" si="4"/>
        <v>42</v>
      </c>
      <c r="D294" t="s">
        <v>342</v>
      </c>
    </row>
    <row r="295" spans="2:4" x14ac:dyDescent="0.25">
      <c r="B295" s="9">
        <v>44718</v>
      </c>
      <c r="C295" s="2">
        <f t="shared" si="4"/>
        <v>43</v>
      </c>
      <c r="D295" t="s">
        <v>336</v>
      </c>
    </row>
    <row r="296" spans="2:4" x14ac:dyDescent="0.25">
      <c r="B296" s="9">
        <v>44719</v>
      </c>
      <c r="C296" s="2">
        <f t="shared" si="4"/>
        <v>43</v>
      </c>
      <c r="D296" t="s">
        <v>337</v>
      </c>
    </row>
    <row r="297" spans="2:4" x14ac:dyDescent="0.25">
      <c r="B297" s="9">
        <v>44720</v>
      </c>
      <c r="C297" s="2">
        <f t="shared" si="4"/>
        <v>43</v>
      </c>
      <c r="D297" t="s">
        <v>338</v>
      </c>
    </row>
    <row r="298" spans="2:4" x14ac:dyDescent="0.25">
      <c r="B298" s="9">
        <v>44721</v>
      </c>
      <c r="C298" s="2">
        <f t="shared" si="4"/>
        <v>43</v>
      </c>
      <c r="D298" t="s">
        <v>339</v>
      </c>
    </row>
    <row r="299" spans="2:4" x14ac:dyDescent="0.25">
      <c r="B299" s="9">
        <v>44722</v>
      </c>
      <c r="C299" s="2">
        <f t="shared" si="4"/>
        <v>43</v>
      </c>
      <c r="D299" t="s">
        <v>340</v>
      </c>
    </row>
    <row r="300" spans="2:4" x14ac:dyDescent="0.25">
      <c r="B300" s="9">
        <v>44723</v>
      </c>
      <c r="C300" s="2">
        <f t="shared" si="4"/>
        <v>43</v>
      </c>
      <c r="D300" t="s">
        <v>341</v>
      </c>
    </row>
    <row r="301" spans="2:4" x14ac:dyDescent="0.25">
      <c r="B301" s="9">
        <v>44724</v>
      </c>
      <c r="C301" s="2">
        <f t="shared" si="4"/>
        <v>43</v>
      </c>
      <c r="D301" t="s">
        <v>342</v>
      </c>
    </row>
  </sheetData>
  <customSheetViews>
    <customSheetView guid="{28BE6562-61BE-42C3-B697-462A6F62428C}" scale="175" state="hidden" topLeftCell="A283">
      <selection activeCell="B165" sqref="B165:D165"/>
      <pageMargins left="0.511811024" right="0.511811024" top="0.78740157499999996" bottom="0.78740157499999996" header="0.31496062000000002" footer="0.31496062000000002"/>
    </customSheetView>
    <customSheetView guid="{00F68F5D-E7EC-4A9D-A8F7-19E9173D4D0E}" scale="175" state="hidden" topLeftCell="A283">
      <selection activeCell="B165" sqref="B165:D165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9058-DD50-4B3E-B496-602F3DD9B31A}">
  <dimension ref="A1:AO181"/>
  <sheetViews>
    <sheetView zoomScale="70" zoomScaleNormal="70" workbookViewId="0">
      <selection activeCell="F5" sqref="F5"/>
    </sheetView>
  </sheetViews>
  <sheetFormatPr defaultRowHeight="15" x14ac:dyDescent="0.25"/>
  <cols>
    <col min="1" max="1" width="42.5703125" customWidth="1"/>
    <col min="2" max="2" width="18.7109375" style="188" bestFit="1" customWidth="1"/>
    <col min="3" max="3" width="28.85546875" style="2" bestFit="1" customWidth="1"/>
    <col min="4" max="4" width="20.7109375" style="207" bestFit="1" customWidth="1"/>
    <col min="5" max="41" width="28.85546875" style="2" bestFit="1" customWidth="1"/>
    <col min="42" max="42" width="14.28515625" bestFit="1" customWidth="1"/>
  </cols>
  <sheetData>
    <row r="1" spans="1:41" x14ac:dyDescent="0.25">
      <c r="A1" s="29" t="s">
        <v>2</v>
      </c>
      <c r="B1" s="2" t="s">
        <v>26</v>
      </c>
    </row>
    <row r="2" spans="1:41" x14ac:dyDescent="0.25">
      <c r="A2" s="29" t="s">
        <v>13</v>
      </c>
      <c r="B2" s="2" t="s">
        <v>543</v>
      </c>
    </row>
    <row r="4" spans="1:41" x14ac:dyDescent="0.25">
      <c r="A4" s="29" t="s">
        <v>350</v>
      </c>
      <c r="B4" s="2"/>
      <c r="C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41" x14ac:dyDescent="0.25">
      <c r="A5" s="29" t="s">
        <v>386</v>
      </c>
      <c r="B5" s="204" t="s">
        <v>15</v>
      </c>
      <c r="C5" s="204" t="s">
        <v>334</v>
      </c>
      <c r="D5" s="2" t="s">
        <v>544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x14ac:dyDescent="0.25">
      <c r="A6" t="s">
        <v>396</v>
      </c>
      <c r="B6" s="2" t="s">
        <v>183</v>
      </c>
      <c r="C6" s="14">
        <v>44566</v>
      </c>
      <c r="D6" s="207">
        <v>3159.37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x14ac:dyDescent="0.25">
      <c r="B7" s="2" t="s">
        <v>224</v>
      </c>
      <c r="C7" s="14">
        <v>44568</v>
      </c>
      <c r="D7" s="207">
        <v>3159.37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x14ac:dyDescent="0.25">
      <c r="A8" t="s">
        <v>549</v>
      </c>
      <c r="B8" s="2"/>
      <c r="C8"/>
      <c r="D8" s="207">
        <v>6318.74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x14ac:dyDescent="0.25">
      <c r="A9" t="s">
        <v>397</v>
      </c>
      <c r="B9" s="2" t="s">
        <v>50</v>
      </c>
      <c r="C9" s="2" t="s">
        <v>347</v>
      </c>
      <c r="D9" s="207">
        <v>0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x14ac:dyDescent="0.25">
      <c r="B10" s="2" t="s">
        <v>142</v>
      </c>
      <c r="C10" s="14">
        <v>44573</v>
      </c>
      <c r="D10" s="207">
        <v>239.07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x14ac:dyDescent="0.25">
      <c r="B11" s="2" t="s">
        <v>183</v>
      </c>
      <c r="C11" s="14">
        <v>44580</v>
      </c>
      <c r="D11" s="207">
        <v>239.07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x14ac:dyDescent="0.25">
      <c r="B12" s="2" t="s">
        <v>224</v>
      </c>
      <c r="C12" s="14">
        <v>44587</v>
      </c>
      <c r="D12" s="207">
        <v>239.07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x14ac:dyDescent="0.25">
      <c r="A13" t="s">
        <v>550</v>
      </c>
      <c r="B13" s="2"/>
      <c r="C13"/>
      <c r="D13" s="207">
        <v>717.21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x14ac:dyDescent="0.25">
      <c r="A14" t="s">
        <v>398</v>
      </c>
      <c r="B14" s="2" t="s">
        <v>50</v>
      </c>
      <c r="C14" s="14">
        <v>44573</v>
      </c>
      <c r="D14" s="207">
        <v>20435.66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x14ac:dyDescent="0.25">
      <c r="B15" s="2" t="s">
        <v>142</v>
      </c>
      <c r="C15" s="14">
        <v>44580</v>
      </c>
      <c r="D15" s="207">
        <v>20435.66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x14ac:dyDescent="0.25">
      <c r="B16" s="2" t="s">
        <v>183</v>
      </c>
      <c r="C16" s="14">
        <v>44587</v>
      </c>
      <c r="D16" s="207">
        <v>20435.66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x14ac:dyDescent="0.25">
      <c r="B17" s="2" t="s">
        <v>224</v>
      </c>
      <c r="C17" s="14">
        <v>44594</v>
      </c>
      <c r="D17" s="207">
        <v>20435.66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x14ac:dyDescent="0.25">
      <c r="A18" t="s">
        <v>551</v>
      </c>
      <c r="B18" s="2"/>
      <c r="C18"/>
      <c r="D18" s="207">
        <v>81742.64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x14ac:dyDescent="0.25">
      <c r="A19" t="s">
        <v>399</v>
      </c>
      <c r="B19" s="2" t="s">
        <v>50</v>
      </c>
      <c r="C19" s="14">
        <v>44580</v>
      </c>
      <c r="D19" s="207">
        <v>6811.28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x14ac:dyDescent="0.25">
      <c r="B20" s="2" t="s">
        <v>142</v>
      </c>
      <c r="C20" s="14">
        <v>44587</v>
      </c>
      <c r="D20" s="207">
        <v>6811.28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x14ac:dyDescent="0.25">
      <c r="B21" s="2" t="s">
        <v>183</v>
      </c>
      <c r="C21" s="14">
        <v>44594</v>
      </c>
      <c r="D21" s="207">
        <v>6811.28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x14ac:dyDescent="0.25">
      <c r="B22" s="2" t="s">
        <v>224</v>
      </c>
      <c r="C22" s="14">
        <v>44601</v>
      </c>
      <c r="D22" s="207">
        <v>6811.28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x14ac:dyDescent="0.25">
      <c r="A23" t="s">
        <v>552</v>
      </c>
      <c r="B23" s="2"/>
      <c r="C23"/>
      <c r="D23" s="207">
        <v>27245.119999999999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x14ac:dyDescent="0.25">
      <c r="A24" t="s">
        <v>400</v>
      </c>
      <c r="B24" s="2" t="s">
        <v>50</v>
      </c>
      <c r="C24" s="14">
        <v>44592</v>
      </c>
      <c r="D24" s="207">
        <v>26500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x14ac:dyDescent="0.25">
      <c r="B25" s="2" t="s">
        <v>142</v>
      </c>
      <c r="C25" s="14">
        <v>44595</v>
      </c>
      <c r="D25" s="207">
        <v>26500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x14ac:dyDescent="0.25">
      <c r="B26" s="2" t="s">
        <v>183</v>
      </c>
      <c r="C26" s="14">
        <v>44599</v>
      </c>
      <c r="D26" s="207">
        <v>26500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x14ac:dyDescent="0.25">
      <c r="B27" s="2" t="s">
        <v>224</v>
      </c>
      <c r="C27" s="14">
        <v>44606</v>
      </c>
      <c r="D27" s="207">
        <v>26500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x14ac:dyDescent="0.25">
      <c r="A28" t="s">
        <v>553</v>
      </c>
      <c r="B28" s="2"/>
      <c r="C28"/>
      <c r="D28" s="207">
        <v>106000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 x14ac:dyDescent="0.25">
      <c r="A29" t="s">
        <v>401</v>
      </c>
      <c r="B29" s="2" t="s">
        <v>50</v>
      </c>
      <c r="C29" s="14">
        <v>44599</v>
      </c>
      <c r="D29" s="207">
        <v>5134.5200000000004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1:41" x14ac:dyDescent="0.25">
      <c r="B30" s="2" t="s">
        <v>142</v>
      </c>
      <c r="C30" s="14">
        <v>44606</v>
      </c>
      <c r="D30" s="207">
        <v>5134.5200000000004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1" x14ac:dyDescent="0.25">
      <c r="B31" s="2" t="s">
        <v>183</v>
      </c>
      <c r="C31" s="14">
        <v>44613</v>
      </c>
      <c r="D31" s="207">
        <v>5134.5200000000004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1" x14ac:dyDescent="0.25">
      <c r="B32" s="2" t="s">
        <v>224</v>
      </c>
      <c r="C32" s="14">
        <v>44620</v>
      </c>
      <c r="D32" s="207">
        <v>5134.5200000000004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x14ac:dyDescent="0.25">
      <c r="A33" t="s">
        <v>554</v>
      </c>
      <c r="B33" s="2"/>
      <c r="C33"/>
      <c r="D33" s="207">
        <v>20538.080000000002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x14ac:dyDescent="0.25">
      <c r="A34" t="s">
        <v>402</v>
      </c>
      <c r="B34" s="2" t="s">
        <v>50</v>
      </c>
      <c r="C34" s="14">
        <v>44606</v>
      </c>
      <c r="D34" s="207">
        <v>2297.4899999999998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x14ac:dyDescent="0.25">
      <c r="B35" s="2" t="s">
        <v>142</v>
      </c>
      <c r="C35" s="14">
        <v>44613</v>
      </c>
      <c r="D35" s="207">
        <v>2297.4899999999998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x14ac:dyDescent="0.25">
      <c r="B36" s="2" t="s">
        <v>183</v>
      </c>
      <c r="C36" s="14">
        <v>44620</v>
      </c>
      <c r="D36" s="207">
        <v>2297.4899999999998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x14ac:dyDescent="0.25">
      <c r="B37" s="2" t="s">
        <v>224</v>
      </c>
      <c r="C37" s="14">
        <v>44627</v>
      </c>
      <c r="D37" s="207">
        <v>2297.4899999999998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x14ac:dyDescent="0.25">
      <c r="A38" t="s">
        <v>555</v>
      </c>
      <c r="B38" s="2"/>
      <c r="C38"/>
      <c r="D38" s="207">
        <v>9189.9599999999991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x14ac:dyDescent="0.25">
      <c r="A39" t="s">
        <v>403</v>
      </c>
      <c r="B39" s="2" t="s">
        <v>50</v>
      </c>
      <c r="C39" s="14">
        <v>44613</v>
      </c>
      <c r="D39" s="207">
        <v>3617.3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x14ac:dyDescent="0.25">
      <c r="B40" s="2" t="s">
        <v>142</v>
      </c>
      <c r="C40" s="14">
        <v>44620</v>
      </c>
      <c r="D40" s="207">
        <v>3617.43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x14ac:dyDescent="0.25">
      <c r="B41" s="2" t="s">
        <v>183</v>
      </c>
      <c r="C41" s="14">
        <v>44627</v>
      </c>
      <c r="D41" s="207">
        <v>3617.43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x14ac:dyDescent="0.25">
      <c r="B42" s="2" t="s">
        <v>224</v>
      </c>
      <c r="C42" s="14">
        <v>44634</v>
      </c>
      <c r="D42" s="207">
        <v>3617.43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x14ac:dyDescent="0.25">
      <c r="A43" t="s">
        <v>556</v>
      </c>
      <c r="B43" s="2"/>
      <c r="C43"/>
      <c r="D43" s="207">
        <v>14469.59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x14ac:dyDescent="0.25">
      <c r="A44" t="s">
        <v>404</v>
      </c>
      <c r="B44" s="2" t="s">
        <v>50</v>
      </c>
      <c r="C44" s="14">
        <v>44613</v>
      </c>
      <c r="D44" s="207">
        <v>1400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x14ac:dyDescent="0.25">
      <c r="B45" s="2" t="s">
        <v>142</v>
      </c>
      <c r="C45" s="14">
        <v>44616</v>
      </c>
      <c r="D45" s="207">
        <v>1400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x14ac:dyDescent="0.25">
      <c r="B46" s="2" t="s">
        <v>183</v>
      </c>
      <c r="C46" s="14">
        <v>44620</v>
      </c>
      <c r="D46" s="207">
        <v>1400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x14ac:dyDescent="0.25">
      <c r="B47" s="2" t="s">
        <v>224</v>
      </c>
      <c r="C47" s="14">
        <v>44623</v>
      </c>
      <c r="D47" s="207">
        <v>1400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41" x14ac:dyDescent="0.25">
      <c r="A48" t="s">
        <v>557</v>
      </c>
      <c r="B48" s="2"/>
      <c r="C48"/>
      <c r="D48" s="207">
        <v>5600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x14ac:dyDescent="0.25">
      <c r="A49" t="s">
        <v>405</v>
      </c>
      <c r="B49" s="2" t="s">
        <v>50</v>
      </c>
      <c r="C49" s="14">
        <v>44620</v>
      </c>
      <c r="D49" s="207">
        <v>14799.65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x14ac:dyDescent="0.25">
      <c r="B50" s="2" t="s">
        <v>142</v>
      </c>
      <c r="C50" s="14">
        <v>44627</v>
      </c>
      <c r="D50" s="207">
        <v>14799.65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x14ac:dyDescent="0.25">
      <c r="B51" s="2" t="s">
        <v>183</v>
      </c>
      <c r="C51" s="14">
        <v>44634</v>
      </c>
      <c r="D51" s="207">
        <v>14799.65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x14ac:dyDescent="0.25">
      <c r="B52" s="2" t="s">
        <v>224</v>
      </c>
      <c r="C52" s="14">
        <v>44641</v>
      </c>
      <c r="D52" s="207">
        <v>14799.65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x14ac:dyDescent="0.25">
      <c r="A53" t="s">
        <v>558</v>
      </c>
      <c r="B53" s="2"/>
      <c r="C53"/>
      <c r="D53" s="207">
        <v>59198.6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x14ac:dyDescent="0.25">
      <c r="A54" t="s">
        <v>406</v>
      </c>
      <c r="B54" s="2" t="s">
        <v>50</v>
      </c>
      <c r="C54" s="14">
        <v>44634</v>
      </c>
      <c r="D54" s="207">
        <v>5236.0200000000004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x14ac:dyDescent="0.25">
      <c r="B55" s="2" t="s">
        <v>142</v>
      </c>
      <c r="C55" s="14">
        <v>44637</v>
      </c>
      <c r="D55" s="207">
        <v>5236.0200000000004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x14ac:dyDescent="0.25">
      <c r="B56" s="2" t="s">
        <v>183</v>
      </c>
      <c r="C56" s="14">
        <v>44641</v>
      </c>
      <c r="D56" s="207">
        <v>5236.0200000000004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x14ac:dyDescent="0.25">
      <c r="B57" s="2" t="s">
        <v>224</v>
      </c>
      <c r="C57" s="14">
        <v>44644</v>
      </c>
      <c r="D57" s="207">
        <v>5236.0200000000004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x14ac:dyDescent="0.25">
      <c r="A58" t="s">
        <v>559</v>
      </c>
      <c r="B58" s="2"/>
      <c r="C58"/>
      <c r="D58" s="207">
        <v>20944.080000000002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x14ac:dyDescent="0.25">
      <c r="A59" t="s">
        <v>407</v>
      </c>
      <c r="B59" s="2" t="s">
        <v>50</v>
      </c>
      <c r="C59" s="14">
        <v>44637</v>
      </c>
      <c r="D59" s="207">
        <v>10400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x14ac:dyDescent="0.25">
      <c r="B60" s="2" t="s">
        <v>142</v>
      </c>
      <c r="C60" s="14">
        <v>44641</v>
      </c>
      <c r="D60" s="207">
        <v>10400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x14ac:dyDescent="0.25">
      <c r="B61" s="2" t="s">
        <v>183</v>
      </c>
      <c r="C61" s="14">
        <v>44644</v>
      </c>
      <c r="D61" s="207">
        <v>10400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x14ac:dyDescent="0.25">
      <c r="B62" s="2" t="s">
        <v>224</v>
      </c>
      <c r="C62" s="14">
        <v>44648</v>
      </c>
      <c r="D62" s="207">
        <v>10400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x14ac:dyDescent="0.25">
      <c r="A63" t="s">
        <v>560</v>
      </c>
      <c r="B63" s="2"/>
      <c r="C63"/>
      <c r="D63" s="207">
        <v>41600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x14ac:dyDescent="0.25">
      <c r="A64" t="s">
        <v>408</v>
      </c>
      <c r="B64" s="2" t="s">
        <v>50</v>
      </c>
      <c r="C64" s="14">
        <v>44634</v>
      </c>
      <c r="D64" s="207">
        <v>2054.02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x14ac:dyDescent="0.25">
      <c r="B65" s="2" t="s">
        <v>142</v>
      </c>
      <c r="C65" s="14">
        <v>44634</v>
      </c>
      <c r="D65" s="207">
        <v>2054.02</v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x14ac:dyDescent="0.25">
      <c r="B66" s="2" t="s">
        <v>183</v>
      </c>
      <c r="C66" s="14">
        <v>44634</v>
      </c>
      <c r="D66" s="207">
        <v>2054.02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x14ac:dyDescent="0.25">
      <c r="B67" s="2" t="s">
        <v>224</v>
      </c>
      <c r="C67" s="14">
        <v>44634</v>
      </c>
      <c r="D67" s="207">
        <v>2054.02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x14ac:dyDescent="0.25">
      <c r="A68" t="s">
        <v>561</v>
      </c>
      <c r="B68" s="2"/>
      <c r="C68"/>
      <c r="D68" s="207">
        <v>8216.08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x14ac:dyDescent="0.25">
      <c r="A69" t="s">
        <v>409</v>
      </c>
      <c r="B69" s="2" t="s">
        <v>50</v>
      </c>
      <c r="C69" s="14">
        <v>44648</v>
      </c>
      <c r="D69" s="207">
        <v>13171.26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x14ac:dyDescent="0.25">
      <c r="B70" s="2" t="s">
        <v>142</v>
      </c>
      <c r="C70" s="14">
        <v>44655</v>
      </c>
      <c r="D70" s="207">
        <v>13171.26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x14ac:dyDescent="0.25">
      <c r="B71" s="2" t="s">
        <v>183</v>
      </c>
      <c r="C71" s="14">
        <v>44662</v>
      </c>
      <c r="D71" s="207">
        <v>13171.26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x14ac:dyDescent="0.25">
      <c r="B72" s="2" t="s">
        <v>224</v>
      </c>
      <c r="C72" s="14">
        <v>44669</v>
      </c>
      <c r="D72" s="207">
        <v>13171.26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x14ac:dyDescent="0.25">
      <c r="A73" t="s">
        <v>562</v>
      </c>
      <c r="B73" s="2"/>
      <c r="C73"/>
      <c r="D73" s="207">
        <v>52685.04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x14ac:dyDescent="0.25">
      <c r="A74" t="s">
        <v>410</v>
      </c>
      <c r="B74" s="2" t="s">
        <v>50</v>
      </c>
      <c r="C74" s="14">
        <v>44641</v>
      </c>
      <c r="D74" s="207">
        <v>1340.04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x14ac:dyDescent="0.25">
      <c r="B75" s="2" t="s">
        <v>142</v>
      </c>
      <c r="C75" s="14">
        <v>44644</v>
      </c>
      <c r="D75" s="207">
        <v>1340.04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x14ac:dyDescent="0.25">
      <c r="B76" s="2" t="s">
        <v>183</v>
      </c>
      <c r="C76" s="14">
        <v>44648</v>
      </c>
      <c r="D76" s="207">
        <v>1340.04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x14ac:dyDescent="0.25">
      <c r="B77" s="2" t="s">
        <v>224</v>
      </c>
      <c r="C77" s="14">
        <v>44651</v>
      </c>
      <c r="D77" s="207">
        <v>1340.04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x14ac:dyDescent="0.25">
      <c r="A78" t="s">
        <v>563</v>
      </c>
      <c r="B78" s="2"/>
      <c r="C78"/>
      <c r="D78" s="207">
        <v>5360.16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1:41" x14ac:dyDescent="0.25">
      <c r="A79" t="s">
        <v>412</v>
      </c>
      <c r="B79" s="2" t="s">
        <v>50</v>
      </c>
      <c r="C79" s="14">
        <v>44655</v>
      </c>
      <c r="D79" s="207">
        <v>3687.38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x14ac:dyDescent="0.25">
      <c r="B80" s="2" t="s">
        <v>142</v>
      </c>
      <c r="C80" s="14">
        <v>44662</v>
      </c>
      <c r="D80" s="207">
        <v>3687.38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1:41" x14ac:dyDescent="0.25">
      <c r="B81" s="2" t="s">
        <v>183</v>
      </c>
      <c r="C81" s="14">
        <v>44669</v>
      </c>
      <c r="D81" s="207">
        <v>3687.38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41" x14ac:dyDescent="0.25">
      <c r="B82" s="2" t="s">
        <v>224</v>
      </c>
      <c r="C82" s="14">
        <v>44676</v>
      </c>
      <c r="D82" s="207">
        <v>3687.38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x14ac:dyDescent="0.25">
      <c r="A83" t="s">
        <v>564</v>
      </c>
      <c r="B83" s="2"/>
      <c r="C83"/>
      <c r="D83" s="207">
        <v>14749.52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x14ac:dyDescent="0.25">
      <c r="A84" t="s">
        <v>413</v>
      </c>
      <c r="B84" s="2" t="s">
        <v>50</v>
      </c>
      <c r="C84" s="14">
        <v>44658</v>
      </c>
      <c r="D84" s="207">
        <v>500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x14ac:dyDescent="0.25">
      <c r="B85" s="2" t="s">
        <v>142</v>
      </c>
      <c r="C85" s="14">
        <v>44665</v>
      </c>
      <c r="D85" s="207">
        <v>500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41" x14ac:dyDescent="0.25">
      <c r="B86" s="2" t="s">
        <v>183</v>
      </c>
      <c r="C86" s="14">
        <v>44672</v>
      </c>
      <c r="D86" s="207">
        <v>500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:41" x14ac:dyDescent="0.25">
      <c r="B87" s="2" t="s">
        <v>224</v>
      </c>
      <c r="C87" s="14">
        <v>44679</v>
      </c>
      <c r="D87" s="207">
        <v>500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:41" x14ac:dyDescent="0.25">
      <c r="A88" t="s">
        <v>565</v>
      </c>
      <c r="B88" s="2"/>
      <c r="C88"/>
      <c r="D88" s="207">
        <v>2000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:41" x14ac:dyDescent="0.25">
      <c r="A89" t="s">
        <v>418</v>
      </c>
      <c r="B89" s="2" t="s">
        <v>289</v>
      </c>
      <c r="C89" s="14">
        <v>44568</v>
      </c>
      <c r="D89" s="207">
        <v>14038.64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41" x14ac:dyDescent="0.25">
      <c r="B90" s="2" t="s">
        <v>298</v>
      </c>
      <c r="C90" s="14">
        <v>44568</v>
      </c>
      <c r="D90" s="207">
        <v>15850.42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41" x14ac:dyDescent="0.25">
      <c r="B91" s="2" t="s">
        <v>304</v>
      </c>
      <c r="C91" s="14">
        <v>44575</v>
      </c>
      <c r="D91" s="207">
        <v>12614.4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41" x14ac:dyDescent="0.25">
      <c r="B92" s="2" t="s">
        <v>310</v>
      </c>
      <c r="C92" s="14">
        <v>44575</v>
      </c>
      <c r="D92" s="207">
        <v>13885.55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41" x14ac:dyDescent="0.25">
      <c r="B93" s="2" t="s">
        <v>316</v>
      </c>
      <c r="C93" s="14">
        <v>44582</v>
      </c>
      <c r="D93" s="207">
        <v>15397.94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1:41" x14ac:dyDescent="0.25">
      <c r="B94" s="2" t="s">
        <v>322</v>
      </c>
      <c r="C94" s="14">
        <v>44582</v>
      </c>
      <c r="D94" s="207">
        <v>11105.57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1:41" x14ac:dyDescent="0.25">
      <c r="A95" t="s">
        <v>566</v>
      </c>
      <c r="B95" s="2"/>
      <c r="C95"/>
      <c r="D95" s="207">
        <v>82892.51999999999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1:41" x14ac:dyDescent="0.25">
      <c r="A96" t="s">
        <v>419</v>
      </c>
      <c r="B96" s="2" t="s">
        <v>289</v>
      </c>
      <c r="C96" s="14">
        <v>44608</v>
      </c>
      <c r="D96" s="207">
        <v>6273.9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41" x14ac:dyDescent="0.25">
      <c r="B97" s="2" t="s">
        <v>298</v>
      </c>
      <c r="C97" s="14">
        <v>44615</v>
      </c>
      <c r="D97" s="207">
        <v>7083.6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41" x14ac:dyDescent="0.25">
      <c r="B98" s="2" t="s">
        <v>304</v>
      </c>
      <c r="C98" s="14">
        <v>44622</v>
      </c>
      <c r="D98" s="207">
        <v>5637.41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x14ac:dyDescent="0.25">
      <c r="B99" s="2" t="s">
        <v>310</v>
      </c>
      <c r="C99" s="14">
        <v>44629</v>
      </c>
      <c r="D99" s="207">
        <v>6205.49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x14ac:dyDescent="0.25">
      <c r="B100" s="2" t="s">
        <v>316</v>
      </c>
      <c r="C100" s="14">
        <v>44636</v>
      </c>
      <c r="D100" s="207">
        <v>6881.38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x14ac:dyDescent="0.25">
      <c r="B101" s="2" t="s">
        <v>322</v>
      </c>
      <c r="C101" s="14">
        <v>44643</v>
      </c>
      <c r="D101" s="207">
        <v>4963.1099999999997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x14ac:dyDescent="0.25">
      <c r="A102" t="s">
        <v>567</v>
      </c>
      <c r="B102" s="2"/>
      <c r="C102"/>
      <c r="D102" s="207">
        <v>37044.89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x14ac:dyDescent="0.25">
      <c r="A103" t="s">
        <v>344</v>
      </c>
      <c r="B103" s="2"/>
      <c r="C103"/>
      <c r="D103" s="207">
        <v>596512.2300000001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x14ac:dyDescent="0.25">
      <c r="B104" s="2"/>
      <c r="C104"/>
      <c r="D104" s="1"/>
    </row>
    <row r="105" spans="1:41" x14ac:dyDescent="0.25">
      <c r="B105" s="2"/>
      <c r="C105"/>
      <c r="D105" s="1"/>
    </row>
    <row r="106" spans="1:41" x14ac:dyDescent="0.25">
      <c r="B106" s="2"/>
      <c r="C106"/>
      <c r="D106" s="1"/>
    </row>
    <row r="107" spans="1:41" x14ac:dyDescent="0.25">
      <c r="B107" s="2"/>
      <c r="C107"/>
      <c r="D107" s="1"/>
    </row>
    <row r="108" spans="1:41" x14ac:dyDescent="0.25">
      <c r="B108" s="2"/>
      <c r="C108"/>
      <c r="D108" s="1"/>
    </row>
    <row r="109" spans="1:41" x14ac:dyDescent="0.25">
      <c r="B109" s="2"/>
      <c r="C109"/>
      <c r="D109" s="1"/>
    </row>
    <row r="110" spans="1:41" x14ac:dyDescent="0.25">
      <c r="B110" s="2"/>
      <c r="C110"/>
      <c r="D110" s="1"/>
    </row>
    <row r="111" spans="1:41" x14ac:dyDescent="0.25">
      <c r="B111" s="2"/>
      <c r="C111"/>
      <c r="D111" s="1"/>
    </row>
    <row r="112" spans="1:41" x14ac:dyDescent="0.25">
      <c r="B112" s="2"/>
      <c r="C112"/>
      <c r="D112" s="1"/>
    </row>
    <row r="113" spans="2:4" x14ac:dyDescent="0.25">
      <c r="B113" s="2"/>
      <c r="C113"/>
      <c r="D113" s="1"/>
    </row>
    <row r="114" spans="2:4" x14ac:dyDescent="0.25">
      <c r="B114" s="2"/>
      <c r="C114"/>
      <c r="D114" s="1"/>
    </row>
    <row r="115" spans="2:4" x14ac:dyDescent="0.25">
      <c r="B115" s="2"/>
      <c r="C115"/>
      <c r="D115" s="1"/>
    </row>
    <row r="116" spans="2:4" x14ac:dyDescent="0.25">
      <c r="B116" s="2"/>
      <c r="C116"/>
      <c r="D116" s="1"/>
    </row>
    <row r="117" spans="2:4" x14ac:dyDescent="0.25">
      <c r="B117" s="2"/>
      <c r="C117"/>
      <c r="D117" s="1"/>
    </row>
    <row r="118" spans="2:4" x14ac:dyDescent="0.25">
      <c r="B118" s="2"/>
      <c r="C118"/>
      <c r="D118" s="1"/>
    </row>
    <row r="119" spans="2:4" x14ac:dyDescent="0.25">
      <c r="B119" s="2"/>
      <c r="C119"/>
      <c r="D119" s="1"/>
    </row>
    <row r="120" spans="2:4" x14ac:dyDescent="0.25">
      <c r="B120" s="2"/>
      <c r="C120"/>
      <c r="D120" s="1"/>
    </row>
    <row r="121" spans="2:4" x14ac:dyDescent="0.25">
      <c r="B121" s="2"/>
      <c r="C121"/>
      <c r="D121" s="1"/>
    </row>
    <row r="122" spans="2:4" x14ac:dyDescent="0.25">
      <c r="B122" s="2"/>
      <c r="C122"/>
      <c r="D122" s="1"/>
    </row>
    <row r="123" spans="2:4" x14ac:dyDescent="0.25">
      <c r="B123" s="2"/>
      <c r="C123"/>
      <c r="D123" s="1"/>
    </row>
    <row r="124" spans="2:4" x14ac:dyDescent="0.25">
      <c r="B124" s="2"/>
      <c r="C124"/>
      <c r="D124" s="1"/>
    </row>
    <row r="125" spans="2:4" x14ac:dyDescent="0.25">
      <c r="B125" s="2"/>
      <c r="C125"/>
      <c r="D125" s="1"/>
    </row>
    <row r="126" spans="2:4" x14ac:dyDescent="0.25">
      <c r="B126" s="2"/>
      <c r="C126"/>
      <c r="D126" s="1"/>
    </row>
    <row r="127" spans="2:4" x14ac:dyDescent="0.25">
      <c r="B127" s="2"/>
      <c r="C127"/>
      <c r="D127" s="1"/>
    </row>
    <row r="128" spans="2:4" x14ac:dyDescent="0.25">
      <c r="B128" s="2"/>
      <c r="C128"/>
      <c r="D128" s="1"/>
    </row>
    <row r="129" spans="2:4" x14ac:dyDescent="0.25">
      <c r="B129" s="2"/>
      <c r="C129"/>
      <c r="D129" s="1"/>
    </row>
    <row r="130" spans="2:4" x14ac:dyDescent="0.25">
      <c r="B130" s="2"/>
      <c r="C130"/>
      <c r="D130" s="1"/>
    </row>
    <row r="131" spans="2:4" x14ac:dyDescent="0.25">
      <c r="B131" s="2"/>
      <c r="C131"/>
      <c r="D131" s="1"/>
    </row>
    <row r="132" spans="2:4" x14ac:dyDescent="0.25">
      <c r="B132" s="2"/>
      <c r="C132"/>
      <c r="D132" s="1"/>
    </row>
    <row r="133" spans="2:4" x14ac:dyDescent="0.25">
      <c r="B133" s="2"/>
      <c r="C133"/>
      <c r="D133" s="1"/>
    </row>
    <row r="134" spans="2:4" x14ac:dyDescent="0.25">
      <c r="B134" s="2"/>
      <c r="C134"/>
      <c r="D134" s="1"/>
    </row>
    <row r="135" spans="2:4" x14ac:dyDescent="0.25">
      <c r="B135" s="2"/>
      <c r="C135"/>
      <c r="D135" s="1"/>
    </row>
    <row r="136" spans="2:4" x14ac:dyDescent="0.25">
      <c r="B136" s="2"/>
      <c r="C136"/>
      <c r="D136" s="1"/>
    </row>
    <row r="137" spans="2:4" x14ac:dyDescent="0.25">
      <c r="B137" s="2"/>
      <c r="C137"/>
      <c r="D137" s="1"/>
    </row>
    <row r="138" spans="2:4" x14ac:dyDescent="0.25">
      <c r="B138" s="2"/>
      <c r="C138"/>
      <c r="D138" s="1"/>
    </row>
    <row r="139" spans="2:4" x14ac:dyDescent="0.25">
      <c r="B139" s="2"/>
      <c r="C139"/>
      <c r="D139" s="1"/>
    </row>
    <row r="140" spans="2:4" x14ac:dyDescent="0.25">
      <c r="B140" s="2"/>
      <c r="C140"/>
      <c r="D140" s="1"/>
    </row>
    <row r="141" spans="2:4" x14ac:dyDescent="0.25">
      <c r="B141" s="2"/>
      <c r="C141"/>
      <c r="D141" s="1"/>
    </row>
    <row r="142" spans="2:4" x14ac:dyDescent="0.25">
      <c r="B142" s="2"/>
      <c r="C142"/>
      <c r="D142" s="1"/>
    </row>
    <row r="143" spans="2:4" x14ac:dyDescent="0.25">
      <c r="B143" s="2"/>
      <c r="C143"/>
      <c r="D143" s="1"/>
    </row>
    <row r="144" spans="2:4" x14ac:dyDescent="0.25">
      <c r="B144" s="2"/>
      <c r="C144"/>
      <c r="D144" s="1"/>
    </row>
    <row r="145" spans="2:4" x14ac:dyDescent="0.25">
      <c r="B145" s="2"/>
      <c r="C145"/>
      <c r="D145" s="1"/>
    </row>
    <row r="146" spans="2:4" x14ac:dyDescent="0.25">
      <c r="B146" s="2"/>
      <c r="C146"/>
      <c r="D146" s="1"/>
    </row>
    <row r="147" spans="2:4" x14ac:dyDescent="0.25">
      <c r="B147" s="2"/>
      <c r="C147"/>
      <c r="D147" s="1"/>
    </row>
    <row r="148" spans="2:4" x14ac:dyDescent="0.25">
      <c r="B148" s="2"/>
      <c r="C148"/>
      <c r="D148" s="1"/>
    </row>
    <row r="149" spans="2:4" x14ac:dyDescent="0.25">
      <c r="B149" s="2"/>
      <c r="C149"/>
      <c r="D149" s="1"/>
    </row>
    <row r="150" spans="2:4" x14ac:dyDescent="0.25">
      <c r="B150" s="2"/>
      <c r="C150"/>
      <c r="D150" s="1"/>
    </row>
    <row r="151" spans="2:4" x14ac:dyDescent="0.25">
      <c r="B151" s="2"/>
      <c r="C151"/>
      <c r="D151" s="1"/>
    </row>
    <row r="152" spans="2:4" x14ac:dyDescent="0.25">
      <c r="B152" s="2"/>
      <c r="C152"/>
      <c r="D152" s="1"/>
    </row>
    <row r="153" spans="2:4" x14ac:dyDescent="0.25">
      <c r="B153" s="2"/>
      <c r="C153"/>
      <c r="D153" s="1"/>
    </row>
    <row r="154" spans="2:4" x14ac:dyDescent="0.25">
      <c r="B154" s="2"/>
      <c r="C154"/>
      <c r="D154" s="1"/>
    </row>
    <row r="155" spans="2:4" x14ac:dyDescent="0.25">
      <c r="B155" s="2"/>
      <c r="C155"/>
      <c r="D155" s="1"/>
    </row>
    <row r="156" spans="2:4" x14ac:dyDescent="0.25">
      <c r="B156" s="2"/>
      <c r="C156"/>
      <c r="D156" s="1"/>
    </row>
    <row r="157" spans="2:4" x14ac:dyDescent="0.25">
      <c r="B157" s="2"/>
      <c r="C157"/>
      <c r="D157" s="1"/>
    </row>
    <row r="158" spans="2:4" x14ac:dyDescent="0.25">
      <c r="B158" s="2"/>
      <c r="C158"/>
      <c r="D158" s="1"/>
    </row>
    <row r="159" spans="2:4" x14ac:dyDescent="0.25">
      <c r="B159" s="2"/>
      <c r="C159"/>
      <c r="D159" s="1"/>
    </row>
    <row r="160" spans="2:4" x14ac:dyDescent="0.25">
      <c r="B160" s="2"/>
      <c r="C160"/>
      <c r="D160" s="1"/>
    </row>
    <row r="161" spans="2:4" x14ac:dyDescent="0.25">
      <c r="B161" s="2"/>
      <c r="C161"/>
      <c r="D161" s="1"/>
    </row>
    <row r="162" spans="2:4" x14ac:dyDescent="0.25">
      <c r="B162" s="2"/>
      <c r="C162"/>
      <c r="D162" s="1"/>
    </row>
    <row r="163" spans="2:4" x14ac:dyDescent="0.25">
      <c r="B163" s="2"/>
      <c r="C163"/>
      <c r="D163" s="1"/>
    </row>
    <row r="164" spans="2:4" x14ac:dyDescent="0.25">
      <c r="B164" s="2"/>
      <c r="C164"/>
      <c r="D164" s="1"/>
    </row>
    <row r="165" spans="2:4" x14ac:dyDescent="0.25">
      <c r="B165" s="2"/>
      <c r="C165"/>
      <c r="D165" s="1"/>
    </row>
    <row r="166" spans="2:4" x14ac:dyDescent="0.25">
      <c r="B166" s="2"/>
      <c r="C166"/>
      <c r="D166" s="1"/>
    </row>
    <row r="167" spans="2:4" x14ac:dyDescent="0.25">
      <c r="B167" s="2"/>
      <c r="C167"/>
      <c r="D167" s="1"/>
    </row>
    <row r="168" spans="2:4" x14ac:dyDescent="0.25">
      <c r="B168" s="2"/>
      <c r="C168"/>
      <c r="D168" s="1"/>
    </row>
    <row r="169" spans="2:4" x14ac:dyDescent="0.25">
      <c r="B169" s="2"/>
      <c r="C169"/>
      <c r="D169" s="1"/>
    </row>
    <row r="170" spans="2:4" x14ac:dyDescent="0.25">
      <c r="B170" s="2"/>
      <c r="C170"/>
      <c r="D170" s="1"/>
    </row>
    <row r="171" spans="2:4" x14ac:dyDescent="0.25">
      <c r="B171" s="2"/>
      <c r="C171"/>
      <c r="D171" s="1"/>
    </row>
    <row r="172" spans="2:4" x14ac:dyDescent="0.25">
      <c r="B172" s="2"/>
      <c r="C172"/>
      <c r="D172" s="1"/>
    </row>
    <row r="173" spans="2:4" x14ac:dyDescent="0.25">
      <c r="B173" s="2"/>
      <c r="C173"/>
      <c r="D173" s="1"/>
    </row>
    <row r="174" spans="2:4" x14ac:dyDescent="0.25">
      <c r="B174" s="2"/>
      <c r="C174"/>
      <c r="D174" s="1"/>
    </row>
    <row r="175" spans="2:4" x14ac:dyDescent="0.25">
      <c r="B175" s="2"/>
      <c r="C175"/>
      <c r="D175" s="1"/>
    </row>
    <row r="176" spans="2:4" x14ac:dyDescent="0.25">
      <c r="B176" s="2"/>
      <c r="C176"/>
      <c r="D176" s="1"/>
    </row>
    <row r="177" spans="2:4" x14ac:dyDescent="0.25">
      <c r="B177" s="2"/>
      <c r="C177"/>
      <c r="D177" s="1"/>
    </row>
    <row r="178" spans="2:4" x14ac:dyDescent="0.25">
      <c r="B178" s="2"/>
      <c r="C178"/>
      <c r="D178" s="1"/>
    </row>
    <row r="179" spans="2:4" x14ac:dyDescent="0.25">
      <c r="B179" s="2"/>
      <c r="C179"/>
      <c r="D179" s="1"/>
    </row>
    <row r="180" spans="2:4" x14ac:dyDescent="0.25">
      <c r="B180" s="2"/>
      <c r="C180"/>
      <c r="D180" s="1"/>
    </row>
    <row r="181" spans="2:4" x14ac:dyDescent="0.25">
      <c r="B181" s="2"/>
      <c r="C181"/>
      <c r="D181" s="1"/>
    </row>
  </sheetData>
  <customSheetViews>
    <customSheetView guid="{28BE6562-61BE-42C3-B697-462A6F62428C}" scale="70">
      <selection activeCell="F5" sqref="F5"/>
      <pageMargins left="0.511811024" right="0.511811024" top="0.78740157499999996" bottom="0.78740157499999996" header="0.31496062000000002" footer="0.31496062000000002"/>
    </customSheetView>
    <customSheetView guid="{00F68F5D-E7EC-4A9D-A8F7-19E9173D4D0E}" scale="70">
      <selection activeCell="F5" sqref="F5"/>
      <pageMargins left="0.511811024" right="0.511811024" top="0.78740157499999996" bottom="0.78740157499999996" header="0.31496062000000002" footer="0.31496062000000002"/>
    </customSheetView>
  </customSheetViews>
  <conditionalFormatting pivot="1" sqref="D6:D103">
    <cfRule type="cellIs" dxfId="8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B00E-6355-46F8-8269-001C0A652F95}">
  <dimension ref="A1:Y63"/>
  <sheetViews>
    <sheetView zoomScaleNormal="100" workbookViewId="0">
      <selection activeCell="C43" sqref="C43"/>
    </sheetView>
  </sheetViews>
  <sheetFormatPr defaultRowHeight="15" x14ac:dyDescent="0.25"/>
  <cols>
    <col min="17" max="17" width="6.5703125" customWidth="1"/>
    <col min="18" max="18" width="2.7109375" style="80" customWidth="1"/>
    <col min="25" max="25" width="5.42578125" customWidth="1"/>
  </cols>
  <sheetData>
    <row r="1" spans="1:25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S1" s="80"/>
      <c r="T1" s="80"/>
      <c r="U1" s="80"/>
      <c r="V1" s="80"/>
      <c r="W1" s="80"/>
      <c r="X1" s="80"/>
      <c r="Y1" s="80"/>
    </row>
    <row r="2" spans="1:25" ht="19.5" x14ac:dyDescent="0.3">
      <c r="A2" s="80"/>
      <c r="B2" s="277" t="s">
        <v>432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S2" s="277" t="s">
        <v>433</v>
      </c>
      <c r="T2" s="277"/>
      <c r="U2" s="277"/>
      <c r="V2" s="277"/>
      <c r="W2" s="277"/>
      <c r="X2" s="277"/>
      <c r="Y2" s="80"/>
    </row>
    <row r="3" spans="1:25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S3" s="81"/>
      <c r="T3" s="81"/>
      <c r="U3" s="81"/>
      <c r="V3" s="81"/>
      <c r="W3" s="81"/>
      <c r="X3" s="81"/>
      <c r="Y3" s="80"/>
    </row>
    <row r="4" spans="1:25" x14ac:dyDescent="0.25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S4" s="81"/>
      <c r="T4" s="81"/>
      <c r="U4" s="81"/>
      <c r="V4" s="81"/>
      <c r="W4" s="81"/>
      <c r="X4" s="81"/>
      <c r="Y4" s="80"/>
    </row>
    <row r="5" spans="1:25" ht="15" customHeight="1" thickBot="1" x14ac:dyDescent="0.3">
      <c r="A5" s="80"/>
      <c r="B5" s="81"/>
      <c r="C5" s="81"/>
      <c r="D5" s="81"/>
      <c r="E5" s="81"/>
      <c r="F5" s="81"/>
      <c r="G5" s="81"/>
      <c r="H5" s="84"/>
      <c r="I5" s="84"/>
      <c r="J5" s="84"/>
      <c r="K5" s="84"/>
      <c r="L5" s="81"/>
      <c r="M5" s="81"/>
      <c r="N5" s="81"/>
      <c r="O5" s="81"/>
      <c r="P5" s="81"/>
      <c r="Q5" s="81"/>
      <c r="S5" s="81"/>
      <c r="T5" s="81"/>
      <c r="U5" s="81"/>
      <c r="V5" s="81"/>
      <c r="W5" s="81"/>
      <c r="X5" s="81"/>
      <c r="Y5" s="80"/>
    </row>
    <row r="6" spans="1:25" ht="15" customHeight="1" thickTop="1" x14ac:dyDescent="0.25">
      <c r="A6" s="80"/>
      <c r="B6" s="81"/>
      <c r="C6" s="232">
        <f>INDICADORES!C12</f>
        <v>0.61114749102404353</v>
      </c>
      <c r="D6" s="232"/>
      <c r="E6" s="232"/>
      <c r="F6" s="232"/>
      <c r="G6" s="81"/>
      <c r="H6" s="287">
        <f>INDICADORES!D32</f>
        <v>0</v>
      </c>
      <c r="I6" s="232"/>
      <c r="J6" s="232"/>
      <c r="K6" s="232"/>
      <c r="L6" s="81"/>
      <c r="M6" s="288">
        <f>INDICADORES!D41</f>
        <v>0</v>
      </c>
      <c r="N6" s="289"/>
      <c r="O6" s="289"/>
      <c r="P6" s="290"/>
      <c r="Q6" s="81"/>
      <c r="S6" s="81"/>
      <c r="T6" s="288">
        <f>INDICADORES!D45</f>
        <v>0</v>
      </c>
      <c r="U6" s="289"/>
      <c r="V6" s="289"/>
      <c r="W6" s="290"/>
      <c r="X6" s="81"/>
      <c r="Y6" s="80"/>
    </row>
    <row r="7" spans="1:25" ht="15" customHeight="1" x14ac:dyDescent="0.25">
      <c r="A7" s="80"/>
      <c r="B7" s="81"/>
      <c r="C7" s="232"/>
      <c r="D7" s="232"/>
      <c r="E7" s="232"/>
      <c r="F7" s="232"/>
      <c r="G7" s="81"/>
      <c r="H7" s="232"/>
      <c r="I7" s="232"/>
      <c r="J7" s="232"/>
      <c r="K7" s="232"/>
      <c r="L7" s="81"/>
      <c r="M7" s="291"/>
      <c r="N7" s="292"/>
      <c r="O7" s="292"/>
      <c r="P7" s="293"/>
      <c r="Q7" s="81"/>
      <c r="S7" s="81"/>
      <c r="T7" s="291"/>
      <c r="U7" s="292"/>
      <c r="V7" s="292"/>
      <c r="W7" s="293"/>
      <c r="X7" s="81"/>
      <c r="Y7" s="80"/>
    </row>
    <row r="8" spans="1:25" ht="15.75" customHeight="1" thickBot="1" x14ac:dyDescent="0.3">
      <c r="A8" s="80"/>
      <c r="B8" s="81"/>
      <c r="C8" s="232"/>
      <c r="D8" s="232"/>
      <c r="E8" s="232"/>
      <c r="F8" s="232"/>
      <c r="G8" s="81"/>
      <c r="H8" s="232"/>
      <c r="I8" s="232"/>
      <c r="J8" s="232"/>
      <c r="K8" s="232"/>
      <c r="L8" s="81"/>
      <c r="M8" s="294"/>
      <c r="N8" s="295"/>
      <c r="O8" s="295"/>
      <c r="P8" s="296"/>
      <c r="Q8" s="81"/>
      <c r="S8" s="81"/>
      <c r="T8" s="294"/>
      <c r="U8" s="295"/>
      <c r="V8" s="295"/>
      <c r="W8" s="296"/>
      <c r="X8" s="81"/>
      <c r="Y8" s="80"/>
    </row>
    <row r="9" spans="1:25" ht="15.75" thickTop="1" x14ac:dyDescent="0.25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S9" s="81"/>
      <c r="T9" s="81"/>
      <c r="U9" s="81"/>
      <c r="V9" s="81"/>
      <c r="W9" s="81"/>
      <c r="X9" s="81"/>
      <c r="Y9" s="80"/>
    </row>
    <row r="10" spans="1:25" ht="15.75" thickBot="1" x14ac:dyDescent="0.3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S10" s="81"/>
      <c r="T10" s="81"/>
      <c r="U10" s="81"/>
      <c r="V10" s="81"/>
      <c r="W10" s="81"/>
      <c r="X10" s="81"/>
      <c r="Y10" s="80"/>
    </row>
    <row r="11" spans="1:25" ht="15.75" customHeight="1" thickTop="1" x14ac:dyDescent="0.25">
      <c r="A11" s="80"/>
      <c r="B11" s="81"/>
      <c r="C11" s="232">
        <f>INDICADORES!C32</f>
        <v>0</v>
      </c>
      <c r="D11" s="232"/>
      <c r="E11" s="232"/>
      <c r="F11" s="232"/>
      <c r="G11" s="81"/>
      <c r="H11" s="232">
        <f>INDICADORES!C49</f>
        <v>0</v>
      </c>
      <c r="I11" s="232"/>
      <c r="J11" s="232"/>
      <c r="K11" s="232"/>
      <c r="L11" s="81"/>
      <c r="M11" s="278">
        <v>-17663.024149071163</v>
      </c>
      <c r="N11" s="279"/>
      <c r="O11" s="279"/>
      <c r="P11" s="280"/>
      <c r="Q11" s="81"/>
      <c r="S11" s="81"/>
      <c r="T11" s="278">
        <f>INDICADORES!C44</f>
        <v>0</v>
      </c>
      <c r="U11" s="279"/>
      <c r="V11" s="279"/>
      <c r="W11" s="280"/>
      <c r="X11" s="81"/>
      <c r="Y11" s="80"/>
    </row>
    <row r="12" spans="1:25" ht="15" customHeight="1" x14ac:dyDescent="0.25">
      <c r="A12" s="80"/>
      <c r="B12" s="81"/>
      <c r="C12" s="232"/>
      <c r="D12" s="232"/>
      <c r="E12" s="232"/>
      <c r="F12" s="232"/>
      <c r="G12" s="81"/>
      <c r="H12" s="232"/>
      <c r="I12" s="232"/>
      <c r="J12" s="232"/>
      <c r="K12" s="232"/>
      <c r="L12" s="81"/>
      <c r="M12" s="281"/>
      <c r="N12" s="282"/>
      <c r="O12" s="282"/>
      <c r="P12" s="283"/>
      <c r="Q12" s="81"/>
      <c r="S12" s="81"/>
      <c r="T12" s="281"/>
      <c r="U12" s="282"/>
      <c r="V12" s="282"/>
      <c r="W12" s="283"/>
      <c r="X12" s="81"/>
      <c r="Y12" s="80"/>
    </row>
    <row r="13" spans="1:25" ht="15.75" customHeight="1" thickBot="1" x14ac:dyDescent="0.3">
      <c r="A13" s="80"/>
      <c r="B13" s="81"/>
      <c r="C13" s="232"/>
      <c r="D13" s="232"/>
      <c r="E13" s="232"/>
      <c r="F13" s="232"/>
      <c r="G13" s="81"/>
      <c r="H13" s="232"/>
      <c r="I13" s="232"/>
      <c r="J13" s="232"/>
      <c r="K13" s="232"/>
      <c r="L13" s="81"/>
      <c r="M13" s="284"/>
      <c r="N13" s="285"/>
      <c r="O13" s="285"/>
      <c r="P13" s="286"/>
      <c r="Q13" s="81"/>
      <c r="S13" s="81"/>
      <c r="T13" s="284"/>
      <c r="U13" s="285"/>
      <c r="V13" s="285"/>
      <c r="W13" s="286"/>
      <c r="X13" s="81"/>
      <c r="Y13" s="80"/>
    </row>
    <row r="14" spans="1:25" ht="15" customHeight="1" thickTop="1" x14ac:dyDescent="0.25">
      <c r="A14" s="80"/>
      <c r="B14" s="81"/>
      <c r="C14" s="81"/>
      <c r="D14" s="81"/>
      <c r="E14" s="81"/>
      <c r="F14" s="81"/>
      <c r="G14" s="81"/>
      <c r="H14" s="84"/>
      <c r="I14" s="84"/>
      <c r="J14" s="84"/>
      <c r="K14" s="84"/>
      <c r="L14" s="81"/>
      <c r="M14" s="81"/>
      <c r="N14" s="81"/>
      <c r="O14" s="81"/>
      <c r="P14" s="81"/>
      <c r="Q14" s="81"/>
      <c r="S14" s="81"/>
      <c r="T14" s="81"/>
      <c r="U14" s="81"/>
      <c r="V14" s="81"/>
      <c r="W14" s="81"/>
      <c r="X14" s="81"/>
      <c r="Y14" s="80"/>
    </row>
    <row r="15" spans="1:25" ht="15" customHeight="1" x14ac:dyDescent="0.25">
      <c r="A15" s="80"/>
      <c r="B15" s="81"/>
      <c r="C15" s="81"/>
      <c r="D15" s="81"/>
      <c r="E15" s="81"/>
      <c r="F15" s="81"/>
      <c r="G15" s="81"/>
      <c r="H15" s="84"/>
      <c r="I15" s="84"/>
      <c r="J15" s="84"/>
      <c r="K15" s="84"/>
      <c r="L15" s="81"/>
      <c r="M15" s="81"/>
      <c r="N15" s="81"/>
      <c r="O15" s="81"/>
      <c r="P15" s="81"/>
      <c r="Q15" s="81"/>
      <c r="S15" s="81"/>
      <c r="T15" s="81"/>
      <c r="U15" s="81"/>
      <c r="V15" s="81"/>
      <c r="W15" s="81"/>
      <c r="X15" s="81"/>
      <c r="Y15" s="80"/>
    </row>
    <row r="16" spans="1:25" ht="15" customHeight="1" x14ac:dyDescent="0.25">
      <c r="A16" s="80"/>
      <c r="B16" s="81"/>
      <c r="C16" s="81"/>
      <c r="D16" s="81"/>
      <c r="E16" s="81"/>
      <c r="F16" s="81"/>
      <c r="G16" s="81"/>
      <c r="H16" s="84"/>
      <c r="I16" s="84"/>
      <c r="J16" s="84"/>
      <c r="K16" s="84"/>
      <c r="L16" s="81"/>
      <c r="M16" s="81"/>
      <c r="N16" s="81"/>
      <c r="O16" s="81"/>
      <c r="P16" s="81"/>
      <c r="Q16" s="81"/>
      <c r="S16" s="81"/>
      <c r="T16" s="81"/>
      <c r="U16" s="81"/>
      <c r="V16" s="81"/>
      <c r="W16" s="81"/>
      <c r="X16" s="81"/>
      <c r="Y16" s="80"/>
    </row>
    <row r="17" spans="1:25" x14ac:dyDescent="0.25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S17" s="81"/>
      <c r="T17" s="81"/>
      <c r="U17" s="81"/>
      <c r="V17" s="81"/>
      <c r="W17" s="81"/>
      <c r="X17" s="81"/>
      <c r="Y17" s="80"/>
    </row>
    <row r="18" spans="1:25" x14ac:dyDescent="0.25">
      <c r="A18" s="80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S18" s="81"/>
      <c r="T18" s="81"/>
      <c r="U18" s="81"/>
      <c r="V18" s="81"/>
      <c r="W18" s="81"/>
      <c r="X18" s="81"/>
      <c r="Y18" s="80"/>
    </row>
    <row r="19" spans="1:25" x14ac:dyDescent="0.25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S19" s="81"/>
      <c r="T19" s="81"/>
      <c r="U19" s="81"/>
      <c r="V19" s="81"/>
      <c r="W19" s="81"/>
      <c r="X19" s="81"/>
      <c r="Y19" s="80"/>
    </row>
    <row r="20" spans="1:25" x14ac:dyDescent="0.25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S20" s="81"/>
      <c r="T20" s="81"/>
      <c r="U20" s="81"/>
      <c r="V20" s="81"/>
      <c r="W20" s="81"/>
      <c r="X20" s="81"/>
      <c r="Y20" s="80"/>
    </row>
    <row r="21" spans="1:25" ht="15" customHeight="1" x14ac:dyDescent="0.25">
      <c r="A21" s="80"/>
      <c r="B21" s="81"/>
      <c r="C21" s="81"/>
      <c r="D21" s="81"/>
      <c r="E21" s="81"/>
      <c r="F21" s="81"/>
      <c r="G21" s="81"/>
      <c r="H21" s="84"/>
      <c r="I21" s="85"/>
      <c r="J21" s="85"/>
      <c r="K21" s="85"/>
      <c r="L21" s="81"/>
      <c r="M21" s="81"/>
      <c r="N21" s="81"/>
      <c r="O21" s="81"/>
      <c r="P21" s="81"/>
      <c r="Q21" s="81"/>
      <c r="S21" s="81"/>
      <c r="T21" s="81"/>
      <c r="U21" s="81"/>
      <c r="V21" s="81"/>
      <c r="W21" s="81"/>
      <c r="X21" s="81"/>
      <c r="Y21" s="80"/>
    </row>
    <row r="22" spans="1:25" ht="15" customHeight="1" x14ac:dyDescent="0.25">
      <c r="A22" s="80"/>
      <c r="B22" s="81"/>
      <c r="C22" s="81"/>
      <c r="D22" s="81"/>
      <c r="E22" s="81"/>
      <c r="F22" s="81"/>
      <c r="G22" s="81"/>
      <c r="H22" s="85"/>
      <c r="I22" s="85"/>
      <c r="J22" s="85"/>
      <c r="K22" s="85"/>
      <c r="L22" s="81"/>
      <c r="M22" s="81"/>
      <c r="N22" s="81"/>
      <c r="O22" s="81"/>
      <c r="P22" s="81"/>
      <c r="Q22" s="81"/>
      <c r="S22" s="81"/>
      <c r="T22" s="81"/>
      <c r="U22" s="81"/>
      <c r="V22" s="81"/>
      <c r="W22" s="81"/>
      <c r="X22" s="81"/>
      <c r="Y22" s="80"/>
    </row>
    <row r="23" spans="1:25" ht="15" customHeight="1" x14ac:dyDescent="0.25">
      <c r="A23" s="80"/>
      <c r="B23" s="81"/>
      <c r="G23" s="81"/>
      <c r="L23" s="81"/>
      <c r="M23" s="81"/>
      <c r="N23" s="81"/>
      <c r="O23" s="81"/>
      <c r="P23" s="81"/>
      <c r="Q23" s="81"/>
      <c r="S23" s="81"/>
      <c r="X23" s="81"/>
      <c r="Y23" s="80"/>
    </row>
    <row r="24" spans="1:25" ht="15" customHeight="1" x14ac:dyDescent="0.25">
      <c r="A24" s="80"/>
      <c r="B24" s="81"/>
      <c r="G24" s="81"/>
      <c r="L24" s="81"/>
      <c r="M24" s="81"/>
      <c r="N24" s="81"/>
      <c r="O24" s="81"/>
      <c r="P24" s="81"/>
      <c r="Q24" s="81"/>
      <c r="S24" s="81"/>
      <c r="X24" s="81"/>
      <c r="Y24" s="80"/>
    </row>
    <row r="25" spans="1:25" x14ac:dyDescent="0.25">
      <c r="A25" s="80"/>
      <c r="B25" s="81"/>
      <c r="G25" s="81"/>
      <c r="L25" s="81"/>
      <c r="M25" s="81"/>
      <c r="N25" s="81"/>
      <c r="O25" s="81"/>
      <c r="P25" s="81"/>
      <c r="Q25" s="81"/>
      <c r="S25" s="81"/>
      <c r="X25" s="81"/>
      <c r="Y25" s="80"/>
    </row>
    <row r="26" spans="1:25" x14ac:dyDescent="0.25">
      <c r="A26" s="80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S26" s="81"/>
      <c r="T26" s="81"/>
      <c r="U26" s="81"/>
      <c r="V26" s="81"/>
      <c r="W26" s="81"/>
      <c r="X26" s="81"/>
      <c r="Y26" s="80"/>
    </row>
    <row r="27" spans="1:25" x14ac:dyDescent="0.25">
      <c r="A27" s="80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S27" s="81"/>
      <c r="T27" s="81"/>
      <c r="U27" s="81"/>
      <c r="V27" s="81"/>
      <c r="W27" s="81"/>
      <c r="X27" s="81"/>
      <c r="Y27" s="80"/>
    </row>
    <row r="28" spans="1:25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S28" s="80"/>
      <c r="T28" s="80"/>
      <c r="U28" s="80"/>
      <c r="V28" s="80"/>
      <c r="W28" s="80"/>
      <c r="X28" s="80"/>
      <c r="Y28" s="80"/>
    </row>
    <row r="29" spans="1:25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S29" s="80"/>
      <c r="T29" s="80"/>
      <c r="U29" s="80"/>
      <c r="V29" s="80"/>
      <c r="W29" s="80"/>
      <c r="X29" s="80"/>
      <c r="Y29" s="80"/>
    </row>
    <row r="30" spans="1:25" ht="19.5" x14ac:dyDescent="0.3">
      <c r="A30" s="80"/>
      <c r="B30" s="83" t="s">
        <v>431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S30" s="80"/>
      <c r="T30" s="80"/>
      <c r="U30" s="80"/>
      <c r="V30" s="80"/>
      <c r="W30" s="80"/>
      <c r="X30" s="80"/>
      <c r="Y30" s="80"/>
    </row>
    <row r="31" spans="1:25" x14ac:dyDescent="0.25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0"/>
    </row>
    <row r="32" spans="1:25" x14ac:dyDescent="0.2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0"/>
    </row>
    <row r="33" spans="1:25" x14ac:dyDescent="0.25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0"/>
    </row>
    <row r="34" spans="1:25" x14ac:dyDescent="0.25">
      <c r="A34" s="80"/>
      <c r="B34" s="81"/>
      <c r="C34" s="81"/>
      <c r="D34" s="81"/>
      <c r="E34" s="81"/>
      <c r="F34" s="81"/>
      <c r="G34" s="81"/>
      <c r="H34" s="275"/>
      <c r="I34" s="275"/>
      <c r="J34" s="275"/>
      <c r="K34" s="275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0"/>
    </row>
    <row r="35" spans="1:25" x14ac:dyDescent="0.25">
      <c r="A35" s="80"/>
      <c r="B35" s="81"/>
      <c r="C35" s="81"/>
      <c r="D35" s="81"/>
      <c r="E35" s="81"/>
      <c r="F35" s="81"/>
      <c r="G35" s="81"/>
      <c r="H35" s="275"/>
      <c r="I35" s="275"/>
      <c r="J35" s="275"/>
      <c r="K35" s="27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0"/>
    </row>
    <row r="36" spans="1:25" x14ac:dyDescent="0.25">
      <c r="A36" s="80"/>
      <c r="B36" s="81"/>
      <c r="C36" s="81"/>
      <c r="D36" s="81"/>
      <c r="E36" s="81"/>
      <c r="F36" s="81"/>
      <c r="G36" s="81"/>
      <c r="H36" s="275"/>
      <c r="I36" s="275"/>
      <c r="J36" s="275"/>
      <c r="K36" s="275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0"/>
    </row>
    <row r="37" spans="1:25" x14ac:dyDescent="0.25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0"/>
    </row>
    <row r="38" spans="1:25" ht="15" customHeight="1" x14ac:dyDescent="0.25">
      <c r="A38" s="80"/>
      <c r="B38" s="81"/>
      <c r="C38" s="81"/>
      <c r="D38" s="81"/>
      <c r="E38" s="81"/>
      <c r="F38" s="81"/>
      <c r="G38" s="81"/>
      <c r="H38" s="82"/>
      <c r="I38" s="82"/>
      <c r="J38" s="82"/>
      <c r="K38" s="82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0"/>
    </row>
    <row r="39" spans="1:25" ht="15" customHeight="1" x14ac:dyDescent="0.25">
      <c r="A39" s="80"/>
      <c r="B39" s="81"/>
      <c r="C39" s="81"/>
      <c r="D39" s="81"/>
      <c r="E39" s="81"/>
      <c r="F39" s="81"/>
      <c r="G39" s="81"/>
      <c r="H39" s="276"/>
      <c r="I39" s="276"/>
      <c r="J39" s="276"/>
      <c r="K39" s="276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0"/>
    </row>
    <row r="40" spans="1:25" ht="15" customHeight="1" x14ac:dyDescent="0.25">
      <c r="A40" s="80"/>
      <c r="B40" s="81"/>
      <c r="C40" s="81"/>
      <c r="D40" s="81"/>
      <c r="E40" s="81"/>
      <c r="F40" s="81"/>
      <c r="G40" s="81"/>
      <c r="H40" s="276"/>
      <c r="I40" s="276"/>
      <c r="J40" s="276"/>
      <c r="K40" s="276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0"/>
    </row>
    <row r="41" spans="1:25" x14ac:dyDescent="0.25">
      <c r="A41" s="80"/>
      <c r="B41" s="81"/>
      <c r="C41" s="81"/>
      <c r="D41" s="81"/>
      <c r="E41" s="81"/>
      <c r="F41" s="81"/>
      <c r="G41" s="81"/>
      <c r="H41" s="276"/>
      <c r="I41" s="276"/>
      <c r="J41" s="276"/>
      <c r="K41" s="276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0"/>
    </row>
    <row r="42" spans="1:25" x14ac:dyDescent="0.25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0"/>
    </row>
    <row r="43" spans="1:25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S43" s="80"/>
      <c r="T43" s="80"/>
      <c r="U43" s="80"/>
      <c r="V43" s="80"/>
      <c r="W43" s="80"/>
      <c r="X43" s="80"/>
      <c r="Y43" s="80"/>
    </row>
    <row r="44" spans="1:25" x14ac:dyDescent="0.2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S44" s="80"/>
      <c r="T44" s="80"/>
      <c r="U44" s="80"/>
      <c r="V44" s="80"/>
      <c r="W44" s="80"/>
      <c r="X44" s="80"/>
      <c r="Y44" s="80"/>
    </row>
    <row r="45" spans="1:25" x14ac:dyDescent="0.25">
      <c r="R45" s="172"/>
      <c r="S45" s="172"/>
    </row>
    <row r="46" spans="1:25" x14ac:dyDescent="0.25">
      <c r="R46" s="172"/>
      <c r="S46" s="172"/>
    </row>
    <row r="47" spans="1:25" x14ac:dyDescent="0.25">
      <c r="R47" s="172"/>
      <c r="S47" s="172"/>
    </row>
    <row r="48" spans="1:25" x14ac:dyDescent="0.25">
      <c r="R48" s="172"/>
      <c r="S48" s="172"/>
    </row>
    <row r="49" spans="18:19" x14ac:dyDescent="0.25">
      <c r="R49" s="172"/>
      <c r="S49" s="172"/>
    </row>
    <row r="50" spans="18:19" x14ac:dyDescent="0.25">
      <c r="R50"/>
    </row>
    <row r="51" spans="18:19" x14ac:dyDescent="0.25">
      <c r="R51"/>
    </row>
    <row r="52" spans="18:19" x14ac:dyDescent="0.25">
      <c r="R52"/>
    </row>
    <row r="53" spans="18:19" x14ac:dyDescent="0.25">
      <c r="R53"/>
    </row>
    <row r="54" spans="18:19" x14ac:dyDescent="0.25">
      <c r="R54"/>
    </row>
    <row r="55" spans="18:19" x14ac:dyDescent="0.25">
      <c r="R55"/>
    </row>
    <row r="56" spans="18:19" x14ac:dyDescent="0.25">
      <c r="R56"/>
    </row>
    <row r="57" spans="18:19" x14ac:dyDescent="0.25">
      <c r="R57"/>
    </row>
    <row r="58" spans="18:19" x14ac:dyDescent="0.25">
      <c r="R58"/>
    </row>
    <row r="59" spans="18:19" x14ac:dyDescent="0.25">
      <c r="R59"/>
    </row>
    <row r="60" spans="18:19" x14ac:dyDescent="0.25">
      <c r="R60"/>
    </row>
    <row r="61" spans="18:19" x14ac:dyDescent="0.25">
      <c r="R61"/>
    </row>
    <row r="62" spans="18:19" x14ac:dyDescent="0.25">
      <c r="R62"/>
    </row>
    <row r="63" spans="18:19" x14ac:dyDescent="0.25">
      <c r="R63"/>
    </row>
  </sheetData>
  <customSheetViews>
    <customSheetView guid="{28BE6562-61BE-42C3-B697-462A6F62428C}">
      <selection activeCell="C43" sqref="C43"/>
      <pageMargins left="0.511811024" right="0.511811024" top="0.78740157499999996" bottom="0.78740157499999996" header="0.31496062000000002" footer="0.31496062000000002"/>
    </customSheetView>
    <customSheetView guid="{00F68F5D-E7EC-4A9D-A8F7-19E9173D4D0E}">
      <selection activeCell="C43" sqref="C43"/>
      <pageMargins left="0.511811024" right="0.511811024" top="0.78740157499999996" bottom="0.78740157499999996" header="0.31496062000000002" footer="0.31496062000000002"/>
    </customSheetView>
  </customSheetViews>
  <mergeCells count="12">
    <mergeCell ref="H34:K36"/>
    <mergeCell ref="H39:K41"/>
    <mergeCell ref="S2:X2"/>
    <mergeCell ref="B2:Q2"/>
    <mergeCell ref="C6:F8"/>
    <mergeCell ref="C11:F13"/>
    <mergeCell ref="H11:K13"/>
    <mergeCell ref="M11:P13"/>
    <mergeCell ref="T11:W13"/>
    <mergeCell ref="H6:K8"/>
    <mergeCell ref="T6:W8"/>
    <mergeCell ref="M6:P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C267-C6A7-47A2-A880-3DCD13F13330}">
  <sheetPr>
    <tabColor theme="1"/>
  </sheetPr>
  <dimension ref="A1:AF41"/>
  <sheetViews>
    <sheetView zoomScale="70" zoomScaleNormal="70" workbookViewId="0">
      <selection activeCell="H11" sqref="H11:K13"/>
    </sheetView>
  </sheetViews>
  <sheetFormatPr defaultRowHeight="15" x14ac:dyDescent="0.25"/>
  <cols>
    <col min="28" max="34" width="24.5703125" customWidth="1"/>
  </cols>
  <sheetData>
    <row r="1" spans="1:32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1:32" ht="19.5" x14ac:dyDescent="0.3">
      <c r="A2" s="80"/>
      <c r="B2" s="83" t="s">
        <v>421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</row>
    <row r="3" spans="1:32" ht="19.5" x14ac:dyDescent="0.3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0"/>
      <c r="AB3" s="83" t="s">
        <v>358</v>
      </c>
      <c r="AC3" s="173"/>
      <c r="AD3" s="173"/>
      <c r="AE3" s="173"/>
      <c r="AF3" s="173"/>
    </row>
    <row r="4" spans="1:32" x14ac:dyDescent="0.25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0"/>
      <c r="AB4" s="80"/>
      <c r="AC4" s="80"/>
      <c r="AD4" s="80"/>
      <c r="AE4" s="80"/>
      <c r="AF4" s="80"/>
    </row>
    <row r="5" spans="1:32" ht="15" customHeight="1" x14ac:dyDescent="0.25">
      <c r="A5" s="80"/>
      <c r="B5" s="81"/>
      <c r="C5" s="81"/>
      <c r="D5" s="81"/>
      <c r="E5" s="81"/>
      <c r="F5" s="81"/>
      <c r="G5" s="81"/>
      <c r="H5" s="232">
        <f>INDICADORES!$C$13</f>
        <v>0.92290726204855855</v>
      </c>
      <c r="I5" s="232"/>
      <c r="J5" s="232"/>
      <c r="K5" s="232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0"/>
      <c r="AB5" s="80"/>
      <c r="AC5" s="80"/>
      <c r="AD5" s="80"/>
      <c r="AE5" s="80"/>
      <c r="AF5" s="80"/>
    </row>
    <row r="6" spans="1:32" ht="15" customHeight="1" x14ac:dyDescent="0.25">
      <c r="A6" s="80"/>
      <c r="B6" s="81"/>
      <c r="C6" s="81"/>
      <c r="D6" s="81"/>
      <c r="E6" s="81"/>
      <c r="F6" s="81"/>
      <c r="G6" s="81"/>
      <c r="H6" s="232"/>
      <c r="I6" s="232"/>
      <c r="J6" s="232"/>
      <c r="K6" s="232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0"/>
      <c r="AB6" s="80"/>
      <c r="AC6" s="80"/>
      <c r="AD6" s="80"/>
      <c r="AE6" s="80"/>
      <c r="AF6" s="80"/>
    </row>
    <row r="7" spans="1:32" x14ac:dyDescent="0.25">
      <c r="A7" s="80"/>
      <c r="B7" s="81"/>
      <c r="C7" s="81"/>
      <c r="D7" s="81"/>
      <c r="E7" s="81"/>
      <c r="F7" s="81"/>
      <c r="G7" s="81"/>
      <c r="H7" s="232"/>
      <c r="I7" s="232"/>
      <c r="J7" s="232"/>
      <c r="K7" s="232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0"/>
      <c r="AB7" s="80"/>
      <c r="AC7" s="80"/>
      <c r="AD7" s="80"/>
      <c r="AE7" s="80"/>
      <c r="AF7" s="80"/>
    </row>
    <row r="8" spans="1:32" x14ac:dyDescent="0.25">
      <c r="A8" s="8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0"/>
      <c r="AB8" s="80"/>
      <c r="AC8" s="80"/>
      <c r="AD8" s="80"/>
      <c r="AE8" s="80"/>
      <c r="AF8" s="80"/>
    </row>
    <row r="9" spans="1:32" x14ac:dyDescent="0.25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0"/>
      <c r="AB9" s="80"/>
      <c r="AC9" s="80"/>
      <c r="AD9" s="80"/>
      <c r="AE9" s="80"/>
      <c r="AF9" s="80"/>
    </row>
    <row r="10" spans="1:32" x14ac:dyDescent="0.25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0"/>
      <c r="AB10" s="80"/>
      <c r="AC10" s="80"/>
      <c r="AD10" s="80"/>
      <c r="AE10" s="80"/>
      <c r="AF10" s="80"/>
    </row>
    <row r="11" spans="1:32" ht="15" customHeight="1" x14ac:dyDescent="0.25">
      <c r="A11" s="80"/>
      <c r="B11" s="81"/>
      <c r="C11" s="81"/>
      <c r="D11" s="81"/>
      <c r="E11" s="81"/>
      <c r="F11" s="81"/>
      <c r="G11" s="81"/>
      <c r="H11" s="232">
        <f>INDICADORES!$C$12</f>
        <v>0.61114749102404353</v>
      </c>
      <c r="I11" s="232"/>
      <c r="J11" s="232"/>
      <c r="K11" s="232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0"/>
      <c r="AB11" s="80"/>
      <c r="AC11" s="80"/>
      <c r="AD11" s="80"/>
      <c r="AE11" s="80"/>
      <c r="AF11" s="80"/>
    </row>
    <row r="12" spans="1:32" ht="15" customHeight="1" x14ac:dyDescent="0.25">
      <c r="A12" s="80"/>
      <c r="B12" s="81"/>
      <c r="C12" s="81"/>
      <c r="D12" s="81"/>
      <c r="E12" s="81"/>
      <c r="F12" s="81"/>
      <c r="G12" s="81"/>
      <c r="H12" s="232"/>
      <c r="I12" s="232"/>
      <c r="J12" s="232"/>
      <c r="K12" s="232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0"/>
      <c r="AB12" s="80"/>
      <c r="AC12" s="80"/>
      <c r="AD12" s="80"/>
      <c r="AE12" s="80"/>
      <c r="AF12" s="80"/>
    </row>
    <row r="13" spans="1:32" ht="15" customHeight="1" x14ac:dyDescent="0.25">
      <c r="A13" s="80"/>
      <c r="B13" s="81"/>
      <c r="C13" s="81"/>
      <c r="D13" s="81"/>
      <c r="E13" s="81"/>
      <c r="F13" s="81"/>
      <c r="G13" s="81"/>
      <c r="H13" s="232"/>
      <c r="I13" s="232"/>
      <c r="J13" s="232"/>
      <c r="K13" s="232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0"/>
      <c r="AB13" s="80"/>
      <c r="AC13" s="80"/>
      <c r="AD13" s="80"/>
      <c r="AE13" s="80"/>
      <c r="AF13" s="80"/>
    </row>
    <row r="14" spans="1:32" x14ac:dyDescent="0.25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0"/>
      <c r="AB14" s="80"/>
      <c r="AC14" s="80"/>
      <c r="AD14" s="80"/>
      <c r="AE14" s="80"/>
      <c r="AF14" s="80"/>
    </row>
    <row r="15" spans="1:32" x14ac:dyDescent="0.25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0"/>
      <c r="AB15" s="80"/>
      <c r="AC15" s="80"/>
      <c r="AD15" s="80"/>
      <c r="AE15" s="80"/>
      <c r="AF15" s="80"/>
    </row>
    <row r="16" spans="1:32" x14ac:dyDescent="0.25">
      <c r="A16" s="80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0"/>
      <c r="AB16" s="80"/>
      <c r="AC16" s="80"/>
      <c r="AD16" s="80"/>
      <c r="AE16" s="80"/>
      <c r="AF16" s="80"/>
    </row>
    <row r="17" spans="1:32" x14ac:dyDescent="0.25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0"/>
      <c r="AB17" s="80"/>
      <c r="AC17" s="80"/>
      <c r="AD17" s="80"/>
      <c r="AE17" s="80"/>
      <c r="AF17" s="80"/>
    </row>
    <row r="18" spans="1:32" x14ac:dyDescent="0.25">
      <c r="A18" s="80"/>
      <c r="B18" s="81"/>
      <c r="C18" s="81"/>
      <c r="D18" s="81"/>
      <c r="E18" s="81"/>
      <c r="F18" s="81"/>
      <c r="G18" s="81"/>
      <c r="H18" s="232">
        <f>INDICADORES!$C$14</f>
        <v>-5.1050669241259672E-2</v>
      </c>
      <c r="I18" s="233"/>
      <c r="J18" s="233"/>
      <c r="K18" s="233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0"/>
      <c r="AB18" s="80"/>
      <c r="AC18" s="80"/>
      <c r="AD18" s="80"/>
      <c r="AE18" s="80"/>
      <c r="AF18" s="80"/>
    </row>
    <row r="19" spans="1:32" x14ac:dyDescent="0.25">
      <c r="A19" s="80"/>
      <c r="B19" s="81"/>
      <c r="C19" s="81"/>
      <c r="D19" s="81"/>
      <c r="E19" s="81"/>
      <c r="F19" s="81"/>
      <c r="G19" s="81"/>
      <c r="H19" s="233"/>
      <c r="I19" s="233"/>
      <c r="J19" s="233"/>
      <c r="K19" s="233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0"/>
      <c r="AB19" s="80"/>
      <c r="AC19" s="80"/>
      <c r="AD19" s="80"/>
      <c r="AE19" s="80"/>
      <c r="AF19" s="80"/>
    </row>
    <row r="20" spans="1:32" x14ac:dyDescent="0.25">
      <c r="A20" s="80"/>
      <c r="B20" s="81"/>
      <c r="C20" s="81"/>
      <c r="D20" s="81"/>
      <c r="E20" s="81"/>
      <c r="F20" s="81"/>
      <c r="G20" s="81"/>
      <c r="H20" s="234">
        <f>INDICADORES!$C$15</f>
        <v>15</v>
      </c>
      <c r="I20" s="234"/>
      <c r="J20" s="234"/>
      <c r="K20" s="234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0"/>
      <c r="AB20" s="80"/>
      <c r="AC20" s="80"/>
      <c r="AD20" s="80"/>
      <c r="AE20" s="80"/>
      <c r="AF20" s="80"/>
    </row>
    <row r="21" spans="1:32" x14ac:dyDescent="0.25">
      <c r="A21" s="80"/>
      <c r="B21" s="81"/>
      <c r="C21" s="81"/>
      <c r="D21" s="81"/>
      <c r="E21" s="81"/>
      <c r="F21" s="81"/>
      <c r="G21" s="81"/>
      <c r="H21" s="234"/>
      <c r="I21" s="234"/>
      <c r="J21" s="234"/>
      <c r="K21" s="234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0"/>
      <c r="AB21" s="80"/>
      <c r="AC21" s="80"/>
      <c r="AD21" s="80"/>
      <c r="AE21" s="80"/>
      <c r="AF21" s="80"/>
    </row>
    <row r="22" spans="1:32" ht="19.5" x14ac:dyDescent="0.3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0"/>
      <c r="AB22" s="83" t="s">
        <v>357</v>
      </c>
      <c r="AC22" s="80"/>
      <c r="AD22" s="80"/>
      <c r="AE22" s="80"/>
      <c r="AF22" s="80"/>
    </row>
    <row r="23" spans="1:32" x14ac:dyDescent="0.25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0"/>
      <c r="AB23" s="80"/>
      <c r="AC23" s="80"/>
      <c r="AD23" s="80"/>
      <c r="AE23" s="80"/>
      <c r="AF23" s="80"/>
    </row>
    <row r="24" spans="1:32" x14ac:dyDescent="0.25">
      <c r="A24" s="80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0"/>
      <c r="AB24" s="80"/>
      <c r="AC24" s="80"/>
      <c r="AD24" s="80"/>
      <c r="AE24" s="80"/>
      <c r="AF24" s="80"/>
    </row>
    <row r="25" spans="1:32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</row>
    <row r="26" spans="1:32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</row>
    <row r="27" spans="1:32" ht="19.5" x14ac:dyDescent="0.3">
      <c r="A27" s="80"/>
      <c r="B27" s="83" t="s">
        <v>422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</row>
    <row r="28" spans="1:32" x14ac:dyDescent="0.25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0"/>
      <c r="AB28" s="80"/>
      <c r="AC28" s="80"/>
      <c r="AD28" s="80"/>
      <c r="AE28" s="80"/>
      <c r="AF28" s="80"/>
    </row>
    <row r="29" spans="1:32" x14ac:dyDescent="0.25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0"/>
      <c r="AB29" s="80"/>
      <c r="AC29" s="80"/>
      <c r="AD29" s="80"/>
      <c r="AE29" s="80"/>
      <c r="AF29" s="80"/>
    </row>
    <row r="30" spans="1:32" x14ac:dyDescent="0.25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0"/>
      <c r="AB30" s="80"/>
      <c r="AC30" s="80"/>
      <c r="AD30" s="80"/>
      <c r="AE30" s="80"/>
      <c r="AF30" s="80"/>
    </row>
    <row r="31" spans="1:32" x14ac:dyDescent="0.25">
      <c r="A31" s="80"/>
      <c r="B31" s="81"/>
      <c r="C31" s="81"/>
      <c r="D31" s="81"/>
      <c r="E31" s="81"/>
      <c r="F31" s="81"/>
      <c r="G31" s="81"/>
      <c r="H31" s="232">
        <f>INDICADORES!C20</f>
        <v>0.83333333333333337</v>
      </c>
      <c r="I31" s="232"/>
      <c r="J31" s="232"/>
      <c r="K31" s="232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0"/>
      <c r="AB31" s="80"/>
      <c r="AC31" s="80"/>
      <c r="AD31" s="80"/>
      <c r="AE31" s="80"/>
      <c r="AF31" s="80"/>
    </row>
    <row r="32" spans="1:32" x14ac:dyDescent="0.25">
      <c r="A32" s="80"/>
      <c r="B32" s="81"/>
      <c r="C32" s="81"/>
      <c r="D32" s="81"/>
      <c r="E32" s="81"/>
      <c r="F32" s="81"/>
      <c r="G32" s="81"/>
      <c r="H32" s="232"/>
      <c r="I32" s="232"/>
      <c r="J32" s="232"/>
      <c r="K32" s="232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0"/>
      <c r="AB32" s="80"/>
      <c r="AC32" s="80"/>
      <c r="AD32" s="80"/>
      <c r="AE32" s="80"/>
      <c r="AF32" s="80"/>
    </row>
    <row r="33" spans="1:32" x14ac:dyDescent="0.25">
      <c r="A33" s="80"/>
      <c r="B33" s="81"/>
      <c r="C33" s="81"/>
      <c r="D33" s="81"/>
      <c r="E33" s="81"/>
      <c r="F33" s="81"/>
      <c r="G33" s="81"/>
      <c r="H33" s="232"/>
      <c r="I33" s="232"/>
      <c r="J33" s="232"/>
      <c r="K33" s="232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0"/>
      <c r="AB33" s="80"/>
      <c r="AC33" s="80"/>
      <c r="AD33" s="80"/>
      <c r="AE33" s="80"/>
      <c r="AF33" s="80"/>
    </row>
    <row r="34" spans="1:32" x14ac:dyDescent="0.25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0"/>
      <c r="AB34" s="80"/>
      <c r="AC34" s="80"/>
      <c r="AD34" s="80"/>
      <c r="AE34" s="80"/>
      <c r="AF34" s="80"/>
    </row>
    <row r="35" spans="1:32" ht="15" customHeight="1" x14ac:dyDescent="0.25">
      <c r="A35" s="80"/>
      <c r="B35" s="81"/>
      <c r="C35" s="81"/>
      <c r="D35" s="81"/>
      <c r="E35" s="81"/>
      <c r="F35" s="81"/>
      <c r="G35" s="81"/>
      <c r="H35" s="82"/>
      <c r="I35" s="82"/>
      <c r="J35" s="82"/>
      <c r="K35" s="82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0"/>
      <c r="AB35" s="80"/>
      <c r="AC35" s="80"/>
      <c r="AD35" s="80"/>
      <c r="AE35" s="80"/>
      <c r="AF35" s="80"/>
    </row>
    <row r="36" spans="1:32" ht="15" customHeight="1" x14ac:dyDescent="0.25">
      <c r="A36" s="80"/>
      <c r="B36" s="81"/>
      <c r="C36" s="81"/>
      <c r="D36" s="81"/>
      <c r="E36" s="81"/>
      <c r="F36" s="81"/>
      <c r="G36" s="81"/>
      <c r="H36" s="231">
        <f>INDICADORES!C19</f>
        <v>0.05</v>
      </c>
      <c r="I36" s="231"/>
      <c r="J36" s="231"/>
      <c r="K36" s="23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0"/>
      <c r="AB36" s="80"/>
      <c r="AC36" s="80"/>
      <c r="AD36" s="80"/>
      <c r="AE36" s="80"/>
      <c r="AF36" s="80"/>
    </row>
    <row r="37" spans="1:32" ht="15" customHeight="1" x14ac:dyDescent="0.25">
      <c r="A37" s="80"/>
      <c r="B37" s="81"/>
      <c r="C37" s="81"/>
      <c r="D37" s="81"/>
      <c r="E37" s="81"/>
      <c r="F37" s="81"/>
      <c r="G37" s="81"/>
      <c r="H37" s="231"/>
      <c r="I37" s="231"/>
      <c r="J37" s="231"/>
      <c r="K37" s="23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0"/>
      <c r="AB37" s="80"/>
      <c r="AC37" s="80"/>
      <c r="AD37" s="80"/>
      <c r="AE37" s="80"/>
      <c r="AF37" s="80"/>
    </row>
    <row r="38" spans="1:32" x14ac:dyDescent="0.25">
      <c r="A38" s="80"/>
      <c r="B38" s="81"/>
      <c r="C38" s="81"/>
      <c r="D38" s="81"/>
      <c r="E38" s="81"/>
      <c r="F38" s="81"/>
      <c r="G38" s="81"/>
      <c r="H38" s="231"/>
      <c r="I38" s="231"/>
      <c r="J38" s="231"/>
      <c r="K38" s="23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0"/>
      <c r="AB38" s="80"/>
      <c r="AC38" s="80"/>
      <c r="AD38" s="80"/>
      <c r="AE38" s="80"/>
      <c r="AF38" s="80"/>
    </row>
    <row r="39" spans="1:32" x14ac:dyDescent="0.25">
      <c r="A39" s="8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0"/>
      <c r="AB39" s="80"/>
      <c r="AC39" s="80"/>
      <c r="AD39" s="80"/>
      <c r="AE39" s="80"/>
      <c r="AF39" s="80"/>
    </row>
    <row r="40" spans="1:32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</row>
    <row r="41" spans="1:32" x14ac:dyDescent="0.2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</row>
  </sheetData>
  <customSheetViews>
    <customSheetView guid="{28BE6562-61BE-42C3-B697-462A6F62428C}" scale="70">
      <selection activeCell="R46" sqref="R46"/>
      <pageMargins left="0.511811024" right="0.511811024" top="0.78740157499999996" bottom="0.78740157499999996" header="0.31496062000000002" footer="0.31496062000000002"/>
    </customSheetView>
    <customSheetView guid="{00F68F5D-E7EC-4A9D-A8F7-19E9173D4D0E}" scale="70">
      <selection activeCell="R46" sqref="R46"/>
      <pageMargins left="0.511811024" right="0.511811024" top="0.78740157499999996" bottom="0.78740157499999996" header="0.31496062000000002" footer="0.31496062000000002"/>
    </customSheetView>
  </customSheetViews>
  <mergeCells count="6">
    <mergeCell ref="H36:K38"/>
    <mergeCell ref="H31:K33"/>
    <mergeCell ref="H18:K19"/>
    <mergeCell ref="H20:K21"/>
    <mergeCell ref="H5:K7"/>
    <mergeCell ref="H11:K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20F1-EFBF-46DD-9E79-85B4777BB898}">
  <sheetPr>
    <tabColor theme="1"/>
  </sheetPr>
  <dimension ref="A1:BR30"/>
  <sheetViews>
    <sheetView showGridLines="0" topLeftCell="A8" zoomScale="70" zoomScaleNormal="70" workbookViewId="0">
      <selection activeCell="N22" sqref="N22:O22"/>
    </sheetView>
  </sheetViews>
  <sheetFormatPr defaultRowHeight="15" x14ac:dyDescent="0.25"/>
  <cols>
    <col min="1" max="1" width="6.7109375" style="86" customWidth="1"/>
    <col min="2" max="2" width="9.140625" style="87"/>
    <col min="3" max="3" width="5.42578125" style="70" customWidth="1"/>
    <col min="4" max="67" width="3.7109375" customWidth="1"/>
    <col min="68" max="68" width="3.28515625" customWidth="1"/>
    <col min="69" max="69" width="12.140625" customWidth="1"/>
    <col min="70" max="70" width="16.5703125" style="70" bestFit="1" customWidth="1"/>
  </cols>
  <sheetData>
    <row r="1" spans="1:70" ht="19.5" thickBot="1" x14ac:dyDescent="0.3">
      <c r="BQ1" s="88" t="s">
        <v>423</v>
      </c>
      <c r="BR1" s="89">
        <v>44561</v>
      </c>
    </row>
    <row r="2" spans="1:70" s="70" customFormat="1" ht="24.95" customHeight="1" x14ac:dyDescent="0.25">
      <c r="A2" s="247" t="s">
        <v>283</v>
      </c>
      <c r="B2" s="250" t="s">
        <v>289</v>
      </c>
      <c r="C2" s="90" t="s">
        <v>424</v>
      </c>
      <c r="D2" s="91"/>
      <c r="E2" s="92"/>
      <c r="F2" s="91"/>
      <c r="G2" s="93"/>
      <c r="H2" s="91"/>
      <c r="I2" s="93"/>
      <c r="J2" s="91"/>
      <c r="K2" s="93"/>
      <c r="L2" s="91"/>
      <c r="M2" s="93"/>
      <c r="N2" s="91"/>
      <c r="O2" s="92"/>
      <c r="P2" s="91"/>
      <c r="Q2" s="93"/>
      <c r="R2" s="91"/>
      <c r="S2" s="93"/>
      <c r="T2" s="91"/>
      <c r="U2" s="93"/>
      <c r="V2" s="91"/>
      <c r="W2" s="93"/>
      <c r="X2" s="91"/>
      <c r="Y2" s="93"/>
      <c r="Z2" s="91"/>
      <c r="AA2" s="93"/>
      <c r="AB2" s="91"/>
      <c r="AC2" s="93"/>
      <c r="AD2" s="91"/>
      <c r="AE2" s="92"/>
      <c r="AF2" s="91"/>
      <c r="AG2" s="93"/>
      <c r="AH2" s="91"/>
      <c r="AI2" s="93"/>
      <c r="AJ2" s="91"/>
      <c r="AK2" s="93"/>
      <c r="AL2" s="91"/>
      <c r="AM2" s="93"/>
      <c r="AN2" s="91"/>
      <c r="AO2" s="93"/>
      <c r="AP2" s="91"/>
      <c r="AQ2" s="93"/>
      <c r="AR2" s="91"/>
      <c r="AS2" s="93"/>
      <c r="AT2" s="91"/>
      <c r="AU2" s="93"/>
      <c r="AV2" s="91"/>
      <c r="AW2" s="93"/>
      <c r="AX2" s="91"/>
      <c r="AY2" s="93"/>
      <c r="AZ2" s="91"/>
      <c r="BA2" s="93"/>
      <c r="BB2" s="91"/>
      <c r="BC2" s="93"/>
      <c r="BD2" s="91"/>
      <c r="BE2" s="93"/>
      <c r="BF2" s="91"/>
      <c r="BG2" s="93"/>
      <c r="BH2" s="91"/>
      <c r="BI2" s="93"/>
      <c r="BJ2" s="91"/>
      <c r="BK2" s="93"/>
      <c r="BL2" s="94">
        <v>44526</v>
      </c>
      <c r="BM2" s="95">
        <v>44532</v>
      </c>
      <c r="BN2" s="96">
        <v>44602</v>
      </c>
      <c r="BO2" s="97">
        <v>44608</v>
      </c>
      <c r="BQ2" s="98"/>
      <c r="BR2" s="70" t="s">
        <v>425</v>
      </c>
    </row>
    <row r="3" spans="1:70" s="70" customFormat="1" ht="24.95" customHeight="1" x14ac:dyDescent="0.25">
      <c r="A3" s="248"/>
      <c r="B3" s="251"/>
      <c r="C3" s="99" t="s">
        <v>426</v>
      </c>
      <c r="D3" s="100"/>
      <c r="E3" s="101"/>
      <c r="F3" s="100"/>
      <c r="G3" s="102"/>
      <c r="H3" s="100"/>
      <c r="I3" s="102"/>
      <c r="J3" s="100"/>
      <c r="K3" s="102"/>
      <c r="L3" s="100"/>
      <c r="M3" s="102"/>
      <c r="N3" s="100"/>
      <c r="O3" s="101"/>
      <c r="P3" s="100"/>
      <c r="Q3" s="102"/>
      <c r="R3" s="100"/>
      <c r="S3" s="102"/>
      <c r="T3" s="100"/>
      <c r="U3" s="102"/>
      <c r="V3" s="100"/>
      <c r="W3" s="102"/>
      <c r="X3" s="100"/>
      <c r="Y3" s="102"/>
      <c r="Z3" s="100"/>
      <c r="AA3" s="102"/>
      <c r="AB3" s="100"/>
      <c r="AC3" s="102"/>
      <c r="AD3" s="100"/>
      <c r="AE3" s="101"/>
      <c r="AF3" s="100"/>
      <c r="AG3" s="102"/>
      <c r="AH3" s="100"/>
      <c r="AI3" s="102"/>
      <c r="AJ3" s="100"/>
      <c r="AK3" s="102"/>
      <c r="AL3" s="100"/>
      <c r="AM3" s="102"/>
      <c r="AN3" s="100"/>
      <c r="AO3" s="102"/>
      <c r="AP3" s="100"/>
      <c r="AQ3" s="102"/>
      <c r="AR3" s="100"/>
      <c r="AS3" s="102"/>
      <c r="AT3" s="100"/>
      <c r="AU3" s="102"/>
      <c r="AV3" s="100"/>
      <c r="AW3" s="102"/>
      <c r="AX3" s="100"/>
      <c r="AY3" s="102"/>
      <c r="AZ3" s="100"/>
      <c r="BA3" s="102"/>
      <c r="BB3" s="100"/>
      <c r="BC3" s="102"/>
      <c r="BD3" s="100"/>
      <c r="BE3" s="102"/>
      <c r="BF3" s="100"/>
      <c r="BG3" s="102"/>
      <c r="BH3" s="100"/>
      <c r="BI3" s="102"/>
      <c r="BJ3" s="100"/>
      <c r="BK3" s="102"/>
      <c r="BL3" s="103"/>
      <c r="BM3" s="104"/>
      <c r="BN3" s="105"/>
      <c r="BO3" s="106"/>
      <c r="BQ3" s="107"/>
      <c r="BR3" s="70" t="s">
        <v>357</v>
      </c>
    </row>
    <row r="4" spans="1:70" s="70" customFormat="1" ht="24.95" customHeight="1" x14ac:dyDescent="0.25">
      <c r="A4" s="248"/>
      <c r="B4" s="252" t="s">
        <v>298</v>
      </c>
      <c r="C4" s="108" t="s">
        <v>424</v>
      </c>
      <c r="D4" s="109"/>
      <c r="E4" s="110"/>
      <c r="F4" s="109"/>
      <c r="G4" s="111"/>
      <c r="H4" s="109"/>
      <c r="I4" s="111"/>
      <c r="J4" s="109"/>
      <c r="K4" s="111"/>
      <c r="L4" s="109"/>
      <c r="M4" s="111"/>
      <c r="N4" s="109"/>
      <c r="O4" s="110"/>
      <c r="P4" s="109"/>
      <c r="Q4" s="111"/>
      <c r="R4" s="109"/>
      <c r="S4" s="111"/>
      <c r="T4" s="109"/>
      <c r="U4" s="111"/>
      <c r="V4" s="109"/>
      <c r="W4" s="111"/>
      <c r="X4" s="109"/>
      <c r="Y4" s="111"/>
      <c r="Z4" s="109"/>
      <c r="AA4" s="111"/>
      <c r="AB4" s="109"/>
      <c r="AC4" s="111"/>
      <c r="AD4" s="109"/>
      <c r="AE4" s="110"/>
      <c r="AF4" s="109"/>
      <c r="AG4" s="111"/>
      <c r="AH4" s="109"/>
      <c r="AI4" s="111"/>
      <c r="AJ4" s="109"/>
      <c r="AK4" s="111"/>
      <c r="AL4" s="109"/>
      <c r="AM4" s="111"/>
      <c r="AN4" s="109"/>
      <c r="AO4" s="111"/>
      <c r="AP4" s="109"/>
      <c r="AQ4" s="111"/>
      <c r="AR4" s="109"/>
      <c r="AS4" s="111"/>
      <c r="AT4" s="109"/>
      <c r="AU4" s="111"/>
      <c r="AV4" s="109"/>
      <c r="AW4" s="111"/>
      <c r="AX4" s="109"/>
      <c r="AY4" s="111"/>
      <c r="AZ4" s="109"/>
      <c r="BA4" s="111"/>
      <c r="BB4" s="109"/>
      <c r="BC4" s="111"/>
      <c r="BD4" s="109"/>
      <c r="BE4" s="111"/>
      <c r="BF4" s="109"/>
      <c r="BG4" s="111"/>
      <c r="BH4" s="109"/>
      <c r="BI4" s="111"/>
      <c r="BJ4" s="109"/>
      <c r="BK4" s="111"/>
      <c r="BL4" s="112">
        <v>44533</v>
      </c>
      <c r="BM4" s="113">
        <v>44539</v>
      </c>
      <c r="BN4" s="114">
        <v>44609</v>
      </c>
      <c r="BO4" s="115">
        <v>44615</v>
      </c>
      <c r="BQ4" s="116"/>
      <c r="BR4" s="70" t="s">
        <v>427</v>
      </c>
    </row>
    <row r="5" spans="1:70" s="70" customFormat="1" ht="24.95" customHeight="1" x14ac:dyDescent="0.25">
      <c r="A5" s="248"/>
      <c r="B5" s="253"/>
      <c r="C5" s="117" t="s">
        <v>426</v>
      </c>
      <c r="D5" s="118"/>
      <c r="E5" s="119"/>
      <c r="F5" s="118"/>
      <c r="G5" s="120"/>
      <c r="H5" s="118"/>
      <c r="I5" s="120"/>
      <c r="J5" s="118"/>
      <c r="K5" s="120"/>
      <c r="L5" s="118"/>
      <c r="M5" s="120"/>
      <c r="N5" s="118"/>
      <c r="O5" s="119"/>
      <c r="P5" s="118"/>
      <c r="Q5" s="120"/>
      <c r="R5" s="118"/>
      <c r="S5" s="120"/>
      <c r="T5" s="118"/>
      <c r="U5" s="120"/>
      <c r="V5" s="118"/>
      <c r="W5" s="120"/>
      <c r="X5" s="118"/>
      <c r="Y5" s="120"/>
      <c r="Z5" s="118"/>
      <c r="AA5" s="120"/>
      <c r="AB5" s="118"/>
      <c r="AC5" s="120"/>
      <c r="AD5" s="118"/>
      <c r="AE5" s="119"/>
      <c r="AF5" s="118"/>
      <c r="AG5" s="120"/>
      <c r="AH5" s="118"/>
      <c r="AI5" s="120"/>
      <c r="AJ5" s="118"/>
      <c r="AK5" s="120"/>
      <c r="AL5" s="118"/>
      <c r="AM5" s="120"/>
      <c r="AN5" s="118"/>
      <c r="AO5" s="120"/>
      <c r="AP5" s="118"/>
      <c r="AQ5" s="120"/>
      <c r="AR5" s="118"/>
      <c r="AS5" s="120"/>
      <c r="AT5" s="118"/>
      <c r="AU5" s="120"/>
      <c r="AV5" s="118"/>
      <c r="AW5" s="120"/>
      <c r="AX5" s="118"/>
      <c r="AY5" s="120"/>
      <c r="AZ5" s="118"/>
      <c r="BA5" s="120"/>
      <c r="BB5" s="118"/>
      <c r="BC5" s="120"/>
      <c r="BD5" s="118"/>
      <c r="BE5" s="120"/>
      <c r="BF5" s="118"/>
      <c r="BG5" s="120"/>
      <c r="BH5" s="118"/>
      <c r="BI5" s="120"/>
      <c r="BJ5" s="118"/>
      <c r="BK5" s="120"/>
      <c r="BL5" s="121"/>
      <c r="BM5" s="122"/>
      <c r="BN5" s="123"/>
      <c r="BO5" s="124"/>
      <c r="BQ5" s="125"/>
      <c r="BR5" s="70" t="s">
        <v>428</v>
      </c>
    </row>
    <row r="6" spans="1:70" s="70" customFormat="1" ht="24.95" customHeight="1" x14ac:dyDescent="0.25">
      <c r="A6" s="248"/>
      <c r="B6" s="252" t="s">
        <v>304</v>
      </c>
      <c r="C6" s="108" t="s">
        <v>424</v>
      </c>
      <c r="D6" s="109"/>
      <c r="E6" s="110"/>
      <c r="F6" s="109"/>
      <c r="G6" s="111"/>
      <c r="H6" s="109"/>
      <c r="I6" s="111"/>
      <c r="J6" s="109"/>
      <c r="K6" s="111"/>
      <c r="L6" s="109"/>
      <c r="M6" s="111"/>
      <c r="N6" s="109"/>
      <c r="O6" s="110"/>
      <c r="P6" s="109"/>
      <c r="Q6" s="111"/>
      <c r="R6" s="109"/>
      <c r="S6" s="111"/>
      <c r="T6" s="109"/>
      <c r="U6" s="111"/>
      <c r="V6" s="109"/>
      <c r="W6" s="111"/>
      <c r="X6" s="109"/>
      <c r="Y6" s="111"/>
      <c r="Z6" s="109"/>
      <c r="AA6" s="111"/>
      <c r="AB6" s="109"/>
      <c r="AC6" s="111"/>
      <c r="AD6" s="109"/>
      <c r="AE6" s="110"/>
      <c r="AF6" s="109"/>
      <c r="AG6" s="111"/>
      <c r="AH6" s="109"/>
      <c r="AI6" s="111"/>
      <c r="AJ6" s="109"/>
      <c r="AK6" s="111"/>
      <c r="AL6" s="109"/>
      <c r="AM6" s="111"/>
      <c r="AN6" s="109"/>
      <c r="AO6" s="111"/>
      <c r="AP6" s="109"/>
      <c r="AQ6" s="111"/>
      <c r="AR6" s="109"/>
      <c r="AS6" s="111"/>
      <c r="AT6" s="109"/>
      <c r="AU6" s="111"/>
      <c r="AV6" s="109"/>
      <c r="AW6" s="111"/>
      <c r="AX6" s="109"/>
      <c r="AY6" s="111"/>
      <c r="AZ6" s="109"/>
      <c r="BA6" s="111"/>
      <c r="BB6" s="109"/>
      <c r="BC6" s="111"/>
      <c r="BD6" s="109"/>
      <c r="BE6" s="111"/>
      <c r="BF6" s="109"/>
      <c r="BG6" s="111"/>
      <c r="BH6" s="109"/>
      <c r="BI6" s="111"/>
      <c r="BJ6" s="109"/>
      <c r="BK6" s="111"/>
      <c r="BL6" s="112">
        <v>44540</v>
      </c>
      <c r="BM6" s="113">
        <v>44546</v>
      </c>
      <c r="BN6" s="114">
        <v>44616</v>
      </c>
      <c r="BO6" s="115">
        <v>44622</v>
      </c>
    </row>
    <row r="7" spans="1:70" s="70" customFormat="1" ht="24.95" customHeight="1" x14ac:dyDescent="0.25">
      <c r="A7" s="248"/>
      <c r="B7" s="253"/>
      <c r="C7" s="117" t="s">
        <v>426</v>
      </c>
      <c r="D7" s="118"/>
      <c r="E7" s="119"/>
      <c r="F7" s="118"/>
      <c r="G7" s="120"/>
      <c r="H7" s="118"/>
      <c r="I7" s="120"/>
      <c r="J7" s="118"/>
      <c r="K7" s="120"/>
      <c r="L7" s="118"/>
      <c r="M7" s="120"/>
      <c r="N7" s="118"/>
      <c r="O7" s="119"/>
      <c r="P7" s="118"/>
      <c r="Q7" s="120"/>
      <c r="R7" s="118"/>
      <c r="S7" s="120"/>
      <c r="T7" s="118"/>
      <c r="U7" s="120"/>
      <c r="V7" s="118"/>
      <c r="W7" s="120"/>
      <c r="X7" s="118"/>
      <c r="Y7" s="120"/>
      <c r="Z7" s="118"/>
      <c r="AA7" s="120"/>
      <c r="AB7" s="118"/>
      <c r="AC7" s="120"/>
      <c r="AD7" s="118"/>
      <c r="AE7" s="119"/>
      <c r="AF7" s="118"/>
      <c r="AG7" s="120"/>
      <c r="AH7" s="118"/>
      <c r="AI7" s="120"/>
      <c r="AJ7" s="118"/>
      <c r="AK7" s="120"/>
      <c r="AL7" s="118"/>
      <c r="AM7" s="120"/>
      <c r="AN7" s="118"/>
      <c r="AO7" s="120"/>
      <c r="AP7" s="118"/>
      <c r="AQ7" s="120"/>
      <c r="AR7" s="118"/>
      <c r="AS7" s="120"/>
      <c r="AT7" s="118"/>
      <c r="AU7" s="120"/>
      <c r="AV7" s="118"/>
      <c r="AW7" s="120"/>
      <c r="AX7" s="118"/>
      <c r="AY7" s="120"/>
      <c r="AZ7" s="118"/>
      <c r="BA7" s="120"/>
      <c r="BB7" s="118"/>
      <c r="BC7" s="120"/>
      <c r="BD7" s="118"/>
      <c r="BE7" s="120"/>
      <c r="BF7" s="118"/>
      <c r="BG7" s="120"/>
      <c r="BH7" s="118"/>
      <c r="BI7" s="120"/>
      <c r="BJ7" s="118"/>
      <c r="BK7" s="120"/>
      <c r="BL7" s="121"/>
      <c r="BM7" s="122"/>
      <c r="BN7" s="123"/>
      <c r="BO7" s="124"/>
    </row>
    <row r="8" spans="1:70" s="70" customFormat="1" ht="24.95" customHeight="1" x14ac:dyDescent="0.25">
      <c r="A8" s="248"/>
      <c r="B8" s="252" t="s">
        <v>310</v>
      </c>
      <c r="C8" s="108" t="s">
        <v>424</v>
      </c>
      <c r="D8" s="109"/>
      <c r="E8" s="110"/>
      <c r="F8" s="109"/>
      <c r="G8" s="111"/>
      <c r="H8" s="109"/>
      <c r="I8" s="111"/>
      <c r="J8" s="109"/>
      <c r="K8" s="111"/>
      <c r="L8" s="109"/>
      <c r="M8" s="111"/>
      <c r="N8" s="109"/>
      <c r="O8" s="110"/>
      <c r="P8" s="109"/>
      <c r="Q8" s="111"/>
      <c r="R8" s="109"/>
      <c r="S8" s="111"/>
      <c r="T8" s="109"/>
      <c r="U8" s="111"/>
      <c r="V8" s="109"/>
      <c r="W8" s="111"/>
      <c r="X8" s="109"/>
      <c r="Y8" s="111"/>
      <c r="Z8" s="109"/>
      <c r="AA8" s="111"/>
      <c r="AB8" s="109"/>
      <c r="AC8" s="111"/>
      <c r="AD8" s="109"/>
      <c r="AE8" s="110"/>
      <c r="AF8" s="109"/>
      <c r="AG8" s="111"/>
      <c r="AH8" s="109"/>
      <c r="AI8" s="111"/>
      <c r="AJ8" s="109"/>
      <c r="AK8" s="111"/>
      <c r="AL8" s="109"/>
      <c r="AM8" s="111"/>
      <c r="AN8" s="109"/>
      <c r="AO8" s="111"/>
      <c r="AP8" s="109"/>
      <c r="AQ8" s="111"/>
      <c r="AR8" s="109"/>
      <c r="AS8" s="111"/>
      <c r="AT8" s="109"/>
      <c r="AU8" s="111"/>
      <c r="AV8" s="109"/>
      <c r="AW8" s="111"/>
      <c r="AX8" s="109"/>
      <c r="AY8" s="111"/>
      <c r="AZ8" s="109"/>
      <c r="BA8" s="111"/>
      <c r="BB8" s="109"/>
      <c r="BC8" s="111"/>
      <c r="BD8" s="109"/>
      <c r="BE8" s="111"/>
      <c r="BF8" s="109"/>
      <c r="BG8" s="111"/>
      <c r="BH8" s="109"/>
      <c r="BI8" s="111"/>
      <c r="BJ8" s="109"/>
      <c r="BK8" s="111"/>
      <c r="BL8" s="112">
        <v>44547</v>
      </c>
      <c r="BM8" s="113">
        <v>44553</v>
      </c>
      <c r="BN8" s="114">
        <v>44623</v>
      </c>
      <c r="BO8" s="115">
        <v>44629</v>
      </c>
    </row>
    <row r="9" spans="1:70" s="70" customFormat="1" ht="24.95" customHeight="1" x14ac:dyDescent="0.25">
      <c r="A9" s="248"/>
      <c r="B9" s="253"/>
      <c r="C9" s="117" t="s">
        <v>426</v>
      </c>
      <c r="D9" s="118"/>
      <c r="E9" s="119"/>
      <c r="F9" s="118"/>
      <c r="G9" s="120"/>
      <c r="H9" s="118"/>
      <c r="I9" s="120"/>
      <c r="J9" s="118"/>
      <c r="K9" s="120"/>
      <c r="L9" s="118"/>
      <c r="M9" s="120"/>
      <c r="N9" s="118"/>
      <c r="O9" s="119"/>
      <c r="P9" s="118"/>
      <c r="Q9" s="120"/>
      <c r="R9" s="118"/>
      <c r="S9" s="120"/>
      <c r="T9" s="118"/>
      <c r="U9" s="120"/>
      <c r="V9" s="118"/>
      <c r="W9" s="120"/>
      <c r="X9" s="118"/>
      <c r="Y9" s="120"/>
      <c r="Z9" s="118"/>
      <c r="AA9" s="120"/>
      <c r="AB9" s="118"/>
      <c r="AC9" s="120"/>
      <c r="AD9" s="118"/>
      <c r="AE9" s="119"/>
      <c r="AF9" s="118"/>
      <c r="AG9" s="120"/>
      <c r="AH9" s="118"/>
      <c r="AI9" s="120"/>
      <c r="AJ9" s="118"/>
      <c r="AK9" s="120"/>
      <c r="AL9" s="118"/>
      <c r="AM9" s="120"/>
      <c r="AN9" s="118"/>
      <c r="AO9" s="120"/>
      <c r="AP9" s="118"/>
      <c r="AQ9" s="120"/>
      <c r="AR9" s="118"/>
      <c r="AS9" s="120"/>
      <c r="AT9" s="118"/>
      <c r="AU9" s="120"/>
      <c r="AV9" s="118"/>
      <c r="AW9" s="120"/>
      <c r="AX9" s="118"/>
      <c r="AY9" s="120"/>
      <c r="AZ9" s="118"/>
      <c r="BA9" s="120"/>
      <c r="BB9" s="118"/>
      <c r="BC9" s="120"/>
      <c r="BD9" s="118"/>
      <c r="BE9" s="120"/>
      <c r="BF9" s="118"/>
      <c r="BG9" s="120"/>
      <c r="BH9" s="118"/>
      <c r="BI9" s="120"/>
      <c r="BJ9" s="118"/>
      <c r="BK9" s="120"/>
      <c r="BL9" s="121"/>
      <c r="BM9" s="122"/>
      <c r="BN9" s="123"/>
      <c r="BO9" s="124"/>
    </row>
    <row r="10" spans="1:70" s="70" customFormat="1" ht="24.95" customHeight="1" x14ac:dyDescent="0.25">
      <c r="A10" s="248"/>
      <c r="B10" s="252" t="s">
        <v>316</v>
      </c>
      <c r="C10" s="108" t="s">
        <v>424</v>
      </c>
      <c r="D10" s="109"/>
      <c r="E10" s="110"/>
      <c r="F10" s="109"/>
      <c r="G10" s="111"/>
      <c r="H10" s="109"/>
      <c r="I10" s="111"/>
      <c r="J10" s="109"/>
      <c r="K10" s="111"/>
      <c r="L10" s="109"/>
      <c r="M10" s="111"/>
      <c r="N10" s="109"/>
      <c r="O10" s="110"/>
      <c r="P10" s="109"/>
      <c r="Q10" s="111"/>
      <c r="R10" s="109"/>
      <c r="S10" s="111"/>
      <c r="T10" s="109"/>
      <c r="U10" s="111"/>
      <c r="V10" s="109"/>
      <c r="W10" s="111"/>
      <c r="X10" s="109"/>
      <c r="Y10" s="111"/>
      <c r="Z10" s="109"/>
      <c r="AA10" s="111"/>
      <c r="AB10" s="109"/>
      <c r="AC10" s="111"/>
      <c r="AD10" s="109"/>
      <c r="AE10" s="110"/>
      <c r="AF10" s="109"/>
      <c r="AG10" s="111"/>
      <c r="AH10" s="109"/>
      <c r="AI10" s="111"/>
      <c r="AJ10" s="109"/>
      <c r="AK10" s="111"/>
      <c r="AL10" s="109"/>
      <c r="AM10" s="111"/>
      <c r="AN10" s="109"/>
      <c r="AO10" s="111"/>
      <c r="AP10" s="109"/>
      <c r="AQ10" s="111"/>
      <c r="AR10" s="109"/>
      <c r="AS10" s="111"/>
      <c r="AT10" s="109"/>
      <c r="AU10" s="111"/>
      <c r="AV10" s="109"/>
      <c r="AW10" s="111"/>
      <c r="AX10" s="109"/>
      <c r="AY10" s="111"/>
      <c r="AZ10" s="109"/>
      <c r="BA10" s="111"/>
      <c r="BB10" s="109"/>
      <c r="BC10" s="111"/>
      <c r="BD10" s="109"/>
      <c r="BE10" s="111"/>
      <c r="BF10" s="109"/>
      <c r="BG10" s="111"/>
      <c r="BH10" s="109"/>
      <c r="BI10" s="111"/>
      <c r="BJ10" s="109"/>
      <c r="BK10" s="111"/>
      <c r="BL10" s="112">
        <v>44554</v>
      </c>
      <c r="BM10" s="113">
        <v>44560</v>
      </c>
      <c r="BN10" s="114">
        <v>44630</v>
      </c>
      <c r="BO10" s="115">
        <v>44636</v>
      </c>
    </row>
    <row r="11" spans="1:70" s="70" customFormat="1" ht="24.95" customHeight="1" x14ac:dyDescent="0.25">
      <c r="A11" s="248"/>
      <c r="B11" s="254"/>
      <c r="C11" s="99" t="s">
        <v>426</v>
      </c>
      <c r="D11" s="100"/>
      <c r="E11" s="101"/>
      <c r="F11" s="100"/>
      <c r="G11" s="102"/>
      <c r="H11" s="100"/>
      <c r="I11" s="102"/>
      <c r="J11" s="100"/>
      <c r="K11" s="102"/>
      <c r="L11" s="100"/>
      <c r="M11" s="102"/>
      <c r="N11" s="100"/>
      <c r="O11" s="101"/>
      <c r="P11" s="100"/>
      <c r="Q11" s="102"/>
      <c r="R11" s="100"/>
      <c r="S11" s="102"/>
      <c r="T11" s="100"/>
      <c r="U11" s="102"/>
      <c r="V11" s="100"/>
      <c r="W11" s="102"/>
      <c r="X11" s="100"/>
      <c r="Y11" s="102"/>
      <c r="Z11" s="100"/>
      <c r="AA11" s="102"/>
      <c r="AB11" s="100"/>
      <c r="AC11" s="102"/>
      <c r="AD11" s="100"/>
      <c r="AE11" s="101"/>
      <c r="AF11" s="100"/>
      <c r="AG11" s="102"/>
      <c r="AH11" s="100"/>
      <c r="AI11" s="102"/>
      <c r="AJ11" s="100"/>
      <c r="AK11" s="102"/>
      <c r="AL11" s="100"/>
      <c r="AM11" s="102"/>
      <c r="AN11" s="100"/>
      <c r="AO11" s="102"/>
      <c r="AP11" s="100"/>
      <c r="AQ11" s="102"/>
      <c r="AR11" s="100"/>
      <c r="AS11" s="102"/>
      <c r="AT11" s="100"/>
      <c r="AU11" s="102"/>
      <c r="AV11" s="100"/>
      <c r="AW11" s="102"/>
      <c r="AX11" s="100"/>
      <c r="AY11" s="102"/>
      <c r="AZ11" s="100"/>
      <c r="BA11" s="102"/>
      <c r="BB11" s="100"/>
      <c r="BC11" s="102"/>
      <c r="BD11" s="100"/>
      <c r="BE11" s="102"/>
      <c r="BF11" s="100"/>
      <c r="BG11" s="102"/>
      <c r="BH11" s="100"/>
      <c r="BI11" s="102"/>
      <c r="BJ11" s="100"/>
      <c r="BK11" s="102"/>
      <c r="BL11" s="103"/>
      <c r="BM11" s="104"/>
      <c r="BN11" s="105"/>
      <c r="BO11" s="106"/>
    </row>
    <row r="12" spans="1:70" s="70" customFormat="1" ht="24.95" customHeight="1" x14ac:dyDescent="0.25">
      <c r="A12" s="248"/>
      <c r="B12" s="252" t="s">
        <v>322</v>
      </c>
      <c r="C12" s="108" t="s">
        <v>424</v>
      </c>
      <c r="D12" s="109"/>
      <c r="E12" s="110"/>
      <c r="F12" s="109"/>
      <c r="G12" s="111"/>
      <c r="H12" s="109"/>
      <c r="I12" s="111"/>
      <c r="J12" s="109"/>
      <c r="K12" s="111"/>
      <c r="L12" s="109"/>
      <c r="M12" s="111"/>
      <c r="N12" s="109"/>
      <c r="O12" s="110"/>
      <c r="P12" s="109"/>
      <c r="Q12" s="111"/>
      <c r="R12" s="109"/>
      <c r="S12" s="111"/>
      <c r="T12" s="109"/>
      <c r="U12" s="111"/>
      <c r="V12" s="109"/>
      <c r="W12" s="111"/>
      <c r="X12" s="109"/>
      <c r="Y12" s="111"/>
      <c r="Z12" s="109"/>
      <c r="AA12" s="111"/>
      <c r="AB12" s="109"/>
      <c r="AC12" s="111"/>
      <c r="AD12" s="109"/>
      <c r="AE12" s="110"/>
      <c r="AF12" s="109"/>
      <c r="AG12" s="111"/>
      <c r="AH12" s="109"/>
      <c r="AI12" s="111"/>
      <c r="AJ12" s="109"/>
      <c r="AK12" s="111"/>
      <c r="AL12" s="109"/>
      <c r="AM12" s="111"/>
      <c r="AN12" s="109"/>
      <c r="AO12" s="111"/>
      <c r="AP12" s="109"/>
      <c r="AQ12" s="111"/>
      <c r="AR12" s="109"/>
      <c r="AS12" s="111"/>
      <c r="AT12" s="109"/>
      <c r="AU12" s="111"/>
      <c r="AV12" s="109"/>
      <c r="AW12" s="111"/>
      <c r="AX12" s="109"/>
      <c r="AY12" s="111"/>
      <c r="AZ12" s="109"/>
      <c r="BA12" s="111"/>
      <c r="BB12" s="109"/>
      <c r="BC12" s="111"/>
      <c r="BD12" s="109"/>
      <c r="BE12" s="111"/>
      <c r="BF12" s="109"/>
      <c r="BG12" s="111"/>
      <c r="BH12" s="109"/>
      <c r="BI12" s="111"/>
      <c r="BJ12" s="109"/>
      <c r="BK12" s="111"/>
      <c r="BL12" s="112">
        <v>44561</v>
      </c>
      <c r="BM12" s="113">
        <v>44567</v>
      </c>
      <c r="BN12" s="114">
        <v>44637</v>
      </c>
      <c r="BO12" s="115">
        <v>44643</v>
      </c>
    </row>
    <row r="13" spans="1:70" s="70" customFormat="1" ht="24.95" customHeight="1" thickBot="1" x14ac:dyDescent="0.3">
      <c r="A13" s="249"/>
      <c r="B13" s="255"/>
      <c r="C13" s="126" t="s">
        <v>426</v>
      </c>
      <c r="D13" s="127"/>
      <c r="E13" s="128"/>
      <c r="F13" s="127"/>
      <c r="G13" s="129"/>
      <c r="H13" s="127"/>
      <c r="I13" s="129"/>
      <c r="J13" s="127"/>
      <c r="K13" s="129"/>
      <c r="L13" s="127"/>
      <c r="M13" s="129"/>
      <c r="N13" s="127"/>
      <c r="O13" s="128"/>
      <c r="P13" s="127"/>
      <c r="Q13" s="129"/>
      <c r="R13" s="127"/>
      <c r="S13" s="129"/>
      <c r="T13" s="127"/>
      <c r="U13" s="129"/>
      <c r="V13" s="127"/>
      <c r="W13" s="129"/>
      <c r="X13" s="127"/>
      <c r="Y13" s="129"/>
      <c r="Z13" s="127"/>
      <c r="AA13" s="129"/>
      <c r="AB13" s="127"/>
      <c r="AC13" s="129"/>
      <c r="AD13" s="127"/>
      <c r="AE13" s="128"/>
      <c r="AF13" s="127"/>
      <c r="AG13" s="129"/>
      <c r="AH13" s="127"/>
      <c r="AI13" s="129"/>
      <c r="AJ13" s="127"/>
      <c r="AK13" s="129"/>
      <c r="AL13" s="127"/>
      <c r="AM13" s="129"/>
      <c r="AN13" s="127"/>
      <c r="AO13" s="129"/>
      <c r="AP13" s="127"/>
      <c r="AQ13" s="129"/>
      <c r="AR13" s="127"/>
      <c r="AS13" s="129"/>
      <c r="AT13" s="127"/>
      <c r="AU13" s="129"/>
      <c r="AV13" s="127"/>
      <c r="AW13" s="129"/>
      <c r="AX13" s="127"/>
      <c r="AY13" s="129"/>
      <c r="AZ13" s="127"/>
      <c r="BA13" s="129"/>
      <c r="BB13" s="127"/>
      <c r="BC13" s="129"/>
      <c r="BD13" s="127"/>
      <c r="BE13" s="129"/>
      <c r="BF13" s="127"/>
      <c r="BG13" s="129"/>
      <c r="BH13" s="127"/>
      <c r="BI13" s="129"/>
      <c r="BJ13" s="127"/>
      <c r="BK13" s="129"/>
      <c r="BL13" s="130"/>
      <c r="BM13" s="131"/>
      <c r="BN13" s="132"/>
      <c r="BO13" s="133"/>
    </row>
    <row r="14" spans="1:70" ht="24.95" customHeight="1" x14ac:dyDescent="0.25">
      <c r="A14" s="240" t="s">
        <v>429</v>
      </c>
      <c r="B14" s="243" t="s">
        <v>265</v>
      </c>
      <c r="C14" s="90" t="s">
        <v>424</v>
      </c>
      <c r="D14" s="96"/>
      <c r="E14" s="134"/>
      <c r="F14" s="96"/>
      <c r="G14" s="135"/>
      <c r="H14" s="96"/>
      <c r="I14" s="135"/>
      <c r="J14" s="96"/>
      <c r="K14" s="135"/>
      <c r="L14" s="96"/>
      <c r="M14" s="135"/>
      <c r="N14" s="136">
        <v>44522</v>
      </c>
      <c r="O14" s="137">
        <v>44526</v>
      </c>
      <c r="P14" s="96"/>
      <c r="Q14" s="135"/>
      <c r="R14" s="136">
        <v>44529</v>
      </c>
      <c r="S14" s="138">
        <v>44533</v>
      </c>
      <c r="T14" s="96"/>
      <c r="U14" s="135"/>
      <c r="V14" s="136">
        <v>44536</v>
      </c>
      <c r="W14" s="138">
        <v>44540</v>
      </c>
      <c r="X14" s="136">
        <v>44543</v>
      </c>
      <c r="Y14" s="138">
        <v>44547</v>
      </c>
      <c r="Z14" s="136">
        <v>44550</v>
      </c>
      <c r="AA14" s="138">
        <v>44554</v>
      </c>
      <c r="AB14" s="96"/>
      <c r="AC14" s="135"/>
      <c r="AD14" s="96"/>
      <c r="AE14" s="134"/>
      <c r="AF14" s="96"/>
      <c r="AG14" s="135"/>
      <c r="AH14" s="96"/>
      <c r="AI14" s="135"/>
      <c r="AJ14" s="96"/>
      <c r="AK14" s="135"/>
      <c r="AL14" s="96"/>
      <c r="AM14" s="135"/>
      <c r="AN14" s="96"/>
      <c r="AO14" s="135"/>
      <c r="AP14" s="96"/>
      <c r="AQ14" s="135"/>
      <c r="AR14" s="96"/>
      <c r="AS14" s="135"/>
      <c r="AT14" s="96"/>
      <c r="AU14" s="135"/>
      <c r="AV14" s="96"/>
      <c r="AW14" s="135"/>
      <c r="AX14" s="96"/>
      <c r="AY14" s="135"/>
      <c r="AZ14" s="96"/>
      <c r="BA14" s="135"/>
      <c r="BB14" s="96"/>
      <c r="BC14" s="135"/>
      <c r="BD14" s="96"/>
      <c r="BE14" s="135"/>
      <c r="BF14" s="96"/>
      <c r="BG14" s="135"/>
      <c r="BH14" s="96"/>
      <c r="BI14" s="135"/>
      <c r="BJ14" s="96"/>
      <c r="BK14" s="135"/>
      <c r="BL14" s="96"/>
      <c r="BM14" s="135"/>
      <c r="BN14" s="96"/>
      <c r="BO14" s="97"/>
    </row>
    <row r="15" spans="1:70" ht="24.95" customHeight="1" x14ac:dyDescent="0.25">
      <c r="A15" s="241"/>
      <c r="B15" s="244"/>
      <c r="C15" s="117" t="s">
        <v>426</v>
      </c>
      <c r="D15" s="123"/>
      <c r="E15" s="139"/>
      <c r="F15" s="123"/>
      <c r="G15" s="140"/>
      <c r="H15" s="123"/>
      <c r="I15" s="140"/>
      <c r="J15" s="123"/>
      <c r="K15" s="140"/>
      <c r="L15" s="123"/>
      <c r="M15" s="140"/>
      <c r="N15" s="141">
        <f>Q17+3</f>
        <v>44529</v>
      </c>
      <c r="O15" s="142">
        <f>N15+4</f>
        <v>44533</v>
      </c>
      <c r="P15" s="123"/>
      <c r="Q15" s="140"/>
      <c r="R15" s="141">
        <f>S17+3</f>
        <v>44537</v>
      </c>
      <c r="S15" s="143">
        <f>R15+5</f>
        <v>44542</v>
      </c>
      <c r="T15" s="123"/>
      <c r="U15" s="140"/>
      <c r="V15" s="141" t="s">
        <v>430</v>
      </c>
      <c r="W15" s="143" t="s">
        <v>430</v>
      </c>
      <c r="X15" s="141">
        <v>44543</v>
      </c>
      <c r="Y15" s="143">
        <v>44547</v>
      </c>
      <c r="Z15" s="141">
        <v>44550</v>
      </c>
      <c r="AA15" s="143">
        <v>44554</v>
      </c>
      <c r="AB15" s="123"/>
      <c r="AC15" s="140"/>
      <c r="AD15" s="123"/>
      <c r="AE15" s="139"/>
      <c r="AF15" s="123"/>
      <c r="AG15" s="140"/>
      <c r="AH15" s="123"/>
      <c r="AI15" s="140"/>
      <c r="AJ15" s="123"/>
      <c r="AK15" s="140"/>
      <c r="AL15" s="123"/>
      <c r="AM15" s="140"/>
      <c r="AN15" s="123"/>
      <c r="AO15" s="140"/>
      <c r="AP15" s="123"/>
      <c r="AQ15" s="140"/>
      <c r="AR15" s="123"/>
      <c r="AS15" s="140"/>
      <c r="AT15" s="123"/>
      <c r="AU15" s="140"/>
      <c r="AV15" s="123"/>
      <c r="AW15" s="140"/>
      <c r="AX15" s="123"/>
      <c r="AY15" s="140"/>
      <c r="AZ15" s="123"/>
      <c r="BA15" s="140"/>
      <c r="BB15" s="123"/>
      <c r="BC15" s="140"/>
      <c r="BD15" s="123"/>
      <c r="BE15" s="140"/>
      <c r="BF15" s="123"/>
      <c r="BG15" s="140"/>
      <c r="BH15" s="123"/>
      <c r="BI15" s="140"/>
      <c r="BJ15" s="123"/>
      <c r="BK15" s="140"/>
      <c r="BL15" s="123"/>
      <c r="BM15" s="140"/>
      <c r="BN15" s="123"/>
      <c r="BO15" s="124"/>
    </row>
    <row r="16" spans="1:70" ht="24.95" customHeight="1" x14ac:dyDescent="0.25">
      <c r="A16" s="241"/>
      <c r="B16" s="245" t="s">
        <v>224</v>
      </c>
      <c r="C16" s="108" t="s">
        <v>424</v>
      </c>
      <c r="D16" s="114"/>
      <c r="E16" s="144"/>
      <c r="F16" s="114"/>
      <c r="G16" s="145"/>
      <c r="H16" s="114"/>
      <c r="I16" s="145"/>
      <c r="J16" s="114"/>
      <c r="K16" s="145"/>
      <c r="L16" s="114"/>
      <c r="M16" s="145"/>
      <c r="N16" s="146">
        <v>44508</v>
      </c>
      <c r="O16" s="147">
        <v>44512</v>
      </c>
      <c r="P16" s="146">
        <v>44515</v>
      </c>
      <c r="Q16" s="148">
        <v>44519</v>
      </c>
      <c r="R16" s="146">
        <v>44522</v>
      </c>
      <c r="S16" s="148">
        <v>44526</v>
      </c>
      <c r="T16" s="146">
        <v>44536</v>
      </c>
      <c r="U16" s="148">
        <v>44540</v>
      </c>
      <c r="V16" s="114"/>
      <c r="W16" s="145"/>
      <c r="X16" s="114"/>
      <c r="Y16" s="145"/>
      <c r="Z16" s="114"/>
      <c r="AA16" s="145"/>
      <c r="AB16" s="112">
        <v>44559</v>
      </c>
      <c r="AC16" s="113">
        <v>44561</v>
      </c>
      <c r="AD16" s="114">
        <v>44573</v>
      </c>
      <c r="AE16" s="144">
        <v>44580</v>
      </c>
      <c r="AF16" s="114">
        <v>44580</v>
      </c>
      <c r="AG16" s="145">
        <v>44587</v>
      </c>
      <c r="AH16" s="114">
        <v>44587</v>
      </c>
      <c r="AI16" s="145">
        <v>44594</v>
      </c>
      <c r="AJ16" s="114">
        <v>44594</v>
      </c>
      <c r="AK16" s="145">
        <v>44601</v>
      </c>
      <c r="AL16" s="114">
        <v>44601</v>
      </c>
      <c r="AM16" s="145">
        <v>44608</v>
      </c>
      <c r="AN16" s="114">
        <v>44608</v>
      </c>
      <c r="AO16" s="145">
        <v>44615</v>
      </c>
      <c r="AP16" s="114">
        <v>44615</v>
      </c>
      <c r="AQ16" s="145">
        <v>44622</v>
      </c>
      <c r="AR16" s="114">
        <v>44615</v>
      </c>
      <c r="AS16" s="145">
        <v>44617</v>
      </c>
      <c r="AT16" s="114">
        <v>44629</v>
      </c>
      <c r="AU16" s="145">
        <v>44636</v>
      </c>
      <c r="AV16" s="114">
        <v>44636</v>
      </c>
      <c r="AW16" s="145">
        <v>44643</v>
      </c>
      <c r="AX16" s="114">
        <v>44643</v>
      </c>
      <c r="AY16" s="145">
        <v>44650</v>
      </c>
      <c r="AZ16" s="114">
        <v>44622</v>
      </c>
      <c r="BA16" s="145">
        <v>44624</v>
      </c>
      <c r="BB16" s="114">
        <v>44650</v>
      </c>
      <c r="BC16" s="145">
        <v>44657</v>
      </c>
      <c r="BD16" s="114">
        <v>44657</v>
      </c>
      <c r="BE16" s="145">
        <v>44659</v>
      </c>
      <c r="BF16" s="114">
        <v>44657</v>
      </c>
      <c r="BG16" s="145">
        <v>44659</v>
      </c>
      <c r="BH16" s="114">
        <v>44671</v>
      </c>
      <c r="BI16" s="145">
        <v>44678</v>
      </c>
      <c r="BJ16" s="114">
        <v>44678</v>
      </c>
      <c r="BK16" s="145">
        <v>44680</v>
      </c>
      <c r="BL16" s="114"/>
      <c r="BM16" s="145"/>
      <c r="BN16" s="114"/>
      <c r="BO16" s="115"/>
    </row>
    <row r="17" spans="1:70" ht="24.95" customHeight="1" x14ac:dyDescent="0.25">
      <c r="A17" s="241"/>
      <c r="B17" s="244"/>
      <c r="C17" s="117" t="s">
        <v>426</v>
      </c>
      <c r="D17" s="123"/>
      <c r="E17" s="139"/>
      <c r="F17" s="123"/>
      <c r="G17" s="140"/>
      <c r="H17" s="123"/>
      <c r="I17" s="140"/>
      <c r="J17" s="123"/>
      <c r="K17" s="140"/>
      <c r="L17" s="123"/>
      <c r="M17" s="140"/>
      <c r="N17" s="141">
        <f>Q19+3</f>
        <v>44515</v>
      </c>
      <c r="O17" s="142">
        <f>N17+4</f>
        <v>44519</v>
      </c>
      <c r="P17" s="141">
        <f>O17+3</f>
        <v>44522</v>
      </c>
      <c r="Q17" s="143">
        <f>P17+4</f>
        <v>44526</v>
      </c>
      <c r="R17" s="141">
        <f>S19+3</f>
        <v>44529</v>
      </c>
      <c r="S17" s="143">
        <f>R17+5</f>
        <v>44534</v>
      </c>
      <c r="T17" s="141">
        <v>44536</v>
      </c>
      <c r="U17" s="143">
        <v>44540</v>
      </c>
      <c r="V17" s="123"/>
      <c r="W17" s="140"/>
      <c r="X17" s="123"/>
      <c r="Y17" s="140"/>
      <c r="Z17" s="123"/>
      <c r="AA17" s="140"/>
      <c r="AB17" s="121"/>
      <c r="AC17" s="122"/>
      <c r="AD17" s="123"/>
      <c r="AE17" s="139"/>
      <c r="AF17" s="123"/>
      <c r="AG17" s="140"/>
      <c r="AH17" s="123"/>
      <c r="AI17" s="140"/>
      <c r="AJ17" s="123"/>
      <c r="AK17" s="140"/>
      <c r="AL17" s="123"/>
      <c r="AM17" s="140"/>
      <c r="AN17" s="123"/>
      <c r="AO17" s="140"/>
      <c r="AP17" s="123"/>
      <c r="AQ17" s="140"/>
      <c r="AR17" s="123"/>
      <c r="AS17" s="140"/>
      <c r="AT17" s="123"/>
      <c r="AU17" s="140"/>
      <c r="AV17" s="123"/>
      <c r="AW17" s="140"/>
      <c r="AX17" s="123"/>
      <c r="AY17" s="140"/>
      <c r="AZ17" s="123"/>
      <c r="BA17" s="140"/>
      <c r="BB17" s="123"/>
      <c r="BC17" s="140"/>
      <c r="BD17" s="123"/>
      <c r="BE17" s="140"/>
      <c r="BF17" s="123"/>
      <c r="BG17" s="140"/>
      <c r="BH17" s="123"/>
      <c r="BI17" s="140"/>
      <c r="BJ17" s="123"/>
      <c r="BK17" s="140"/>
      <c r="BL17" s="123"/>
      <c r="BM17" s="140"/>
      <c r="BN17" s="123"/>
      <c r="BO17" s="124"/>
    </row>
    <row r="18" spans="1:70" ht="24.95" customHeight="1" x14ac:dyDescent="0.25">
      <c r="A18" s="241"/>
      <c r="B18" s="245" t="s">
        <v>183</v>
      </c>
      <c r="C18" s="108" t="s">
        <v>424</v>
      </c>
      <c r="D18" s="114"/>
      <c r="E18" s="144"/>
      <c r="F18" s="114"/>
      <c r="G18" s="145"/>
      <c r="H18" s="114"/>
      <c r="I18" s="145"/>
      <c r="J18" s="114"/>
      <c r="K18" s="145"/>
      <c r="L18" s="114"/>
      <c r="M18" s="145"/>
      <c r="N18" s="146">
        <v>44494</v>
      </c>
      <c r="O18" s="147">
        <v>44498</v>
      </c>
      <c r="P18" s="146">
        <v>44501</v>
      </c>
      <c r="Q18" s="148">
        <v>44505</v>
      </c>
      <c r="R18" s="146">
        <v>44515</v>
      </c>
      <c r="S18" s="148">
        <v>44519</v>
      </c>
      <c r="T18" s="146">
        <v>44529</v>
      </c>
      <c r="U18" s="148">
        <v>44533</v>
      </c>
      <c r="V18" s="114"/>
      <c r="W18" s="145"/>
      <c r="X18" s="114"/>
      <c r="Y18" s="145"/>
      <c r="Z18" s="114"/>
      <c r="AA18" s="145"/>
      <c r="AB18" s="149">
        <v>44557</v>
      </c>
      <c r="AC18" s="150">
        <v>44559</v>
      </c>
      <c r="AD18" s="114">
        <v>44566</v>
      </c>
      <c r="AE18" s="144">
        <v>44573</v>
      </c>
      <c r="AF18" s="114">
        <v>44573</v>
      </c>
      <c r="AG18" s="145">
        <v>44580</v>
      </c>
      <c r="AH18" s="114">
        <v>44580</v>
      </c>
      <c r="AI18" s="145">
        <v>44587</v>
      </c>
      <c r="AJ18" s="114">
        <v>44587</v>
      </c>
      <c r="AK18" s="145">
        <v>44594</v>
      </c>
      <c r="AL18" s="114">
        <v>44594</v>
      </c>
      <c r="AM18" s="145">
        <v>44601</v>
      </c>
      <c r="AN18" s="114">
        <v>44601</v>
      </c>
      <c r="AO18" s="145">
        <v>44608</v>
      </c>
      <c r="AP18" s="114">
        <v>44608</v>
      </c>
      <c r="AQ18" s="145">
        <v>44615</v>
      </c>
      <c r="AR18" s="114">
        <v>44613</v>
      </c>
      <c r="AS18" s="145">
        <v>44615</v>
      </c>
      <c r="AT18" s="114">
        <v>44622</v>
      </c>
      <c r="AU18" s="145">
        <v>44629</v>
      </c>
      <c r="AV18" s="114">
        <v>44629</v>
      </c>
      <c r="AW18" s="145">
        <v>44636</v>
      </c>
      <c r="AX18" s="114">
        <v>44636</v>
      </c>
      <c r="AY18" s="145">
        <v>44643</v>
      </c>
      <c r="AZ18" s="114">
        <v>44622</v>
      </c>
      <c r="BA18" s="145">
        <v>44624</v>
      </c>
      <c r="BB18" s="114">
        <v>44643</v>
      </c>
      <c r="BC18" s="145">
        <v>44650</v>
      </c>
      <c r="BD18" s="114">
        <v>44655</v>
      </c>
      <c r="BE18" s="145">
        <v>44657</v>
      </c>
      <c r="BF18" s="114">
        <v>44655</v>
      </c>
      <c r="BG18" s="145">
        <v>44657</v>
      </c>
      <c r="BH18" s="114">
        <v>44664</v>
      </c>
      <c r="BI18" s="145">
        <v>44671</v>
      </c>
      <c r="BJ18" s="114">
        <v>44676</v>
      </c>
      <c r="BK18" s="145">
        <v>44678</v>
      </c>
      <c r="BL18" s="114"/>
      <c r="BM18" s="145"/>
      <c r="BN18" s="114"/>
      <c r="BO18" s="115"/>
    </row>
    <row r="19" spans="1:70" ht="24.95" customHeight="1" x14ac:dyDescent="0.25">
      <c r="A19" s="241"/>
      <c r="B19" s="244"/>
      <c r="C19" s="117" t="s">
        <v>426</v>
      </c>
      <c r="D19" s="123"/>
      <c r="E19" s="139"/>
      <c r="F19" s="123"/>
      <c r="G19" s="140"/>
      <c r="H19" s="123"/>
      <c r="I19" s="140"/>
      <c r="J19" s="123"/>
      <c r="K19" s="140"/>
      <c r="L19" s="123"/>
      <c r="M19" s="140"/>
      <c r="N19" s="141">
        <f>Q21+3</f>
        <v>44501</v>
      </c>
      <c r="O19" s="142">
        <f>N19+4</f>
        <v>44505</v>
      </c>
      <c r="P19" s="141">
        <f>O19+3</f>
        <v>44508</v>
      </c>
      <c r="Q19" s="143">
        <f>P19+4</f>
        <v>44512</v>
      </c>
      <c r="R19" s="141">
        <v>44522</v>
      </c>
      <c r="S19" s="143">
        <v>44526</v>
      </c>
      <c r="T19" s="141">
        <v>44529</v>
      </c>
      <c r="U19" s="143">
        <v>44533</v>
      </c>
      <c r="V19" s="123"/>
      <c r="W19" s="140"/>
      <c r="X19" s="123"/>
      <c r="Y19" s="140"/>
      <c r="Z19" s="123"/>
      <c r="AA19" s="140"/>
      <c r="AB19" s="151">
        <v>44557</v>
      </c>
      <c r="AC19" s="152">
        <v>0.25</v>
      </c>
      <c r="AD19" s="123"/>
      <c r="AE19" s="139"/>
      <c r="AF19" s="123"/>
      <c r="AG19" s="140"/>
      <c r="AH19" s="123"/>
      <c r="AI19" s="140"/>
      <c r="AJ19" s="123"/>
      <c r="AK19" s="140"/>
      <c r="AL19" s="123"/>
      <c r="AM19" s="140"/>
      <c r="AN19" s="123"/>
      <c r="AO19" s="140"/>
      <c r="AP19" s="123"/>
      <c r="AQ19" s="140"/>
      <c r="AR19" s="123"/>
      <c r="AS19" s="140"/>
      <c r="AT19" s="123"/>
      <c r="AU19" s="140"/>
      <c r="AV19" s="123"/>
      <c r="AW19" s="140"/>
      <c r="AX19" s="123"/>
      <c r="AY19" s="140"/>
      <c r="AZ19" s="123"/>
      <c r="BA19" s="140"/>
      <c r="BB19" s="123"/>
      <c r="BC19" s="140"/>
      <c r="BD19" s="123"/>
      <c r="BE19" s="140"/>
      <c r="BF19" s="123"/>
      <c r="BG19" s="140"/>
      <c r="BH19" s="123"/>
      <c r="BI19" s="140"/>
      <c r="BJ19" s="123"/>
      <c r="BK19" s="140"/>
      <c r="BL19" s="123"/>
      <c r="BM19" s="140"/>
      <c r="BN19" s="123"/>
      <c r="BO19" s="124"/>
    </row>
    <row r="20" spans="1:70" ht="24.95" customHeight="1" x14ac:dyDescent="0.25">
      <c r="A20" s="241"/>
      <c r="B20" s="245" t="s">
        <v>142</v>
      </c>
      <c r="C20" s="108" t="s">
        <v>424</v>
      </c>
      <c r="D20" s="114"/>
      <c r="E20" s="144"/>
      <c r="F20" s="114"/>
      <c r="G20" s="145"/>
      <c r="H20" s="114"/>
      <c r="I20" s="145"/>
      <c r="J20" s="114"/>
      <c r="K20" s="145"/>
      <c r="L20" s="114"/>
      <c r="M20" s="145"/>
      <c r="N20" s="146">
        <v>44480</v>
      </c>
      <c r="O20" s="147">
        <v>44484</v>
      </c>
      <c r="P20" s="146">
        <v>44487</v>
      </c>
      <c r="Q20" s="148">
        <v>44491</v>
      </c>
      <c r="R20" s="146">
        <v>44508</v>
      </c>
      <c r="S20" s="148">
        <v>44512</v>
      </c>
      <c r="T20" s="146">
        <v>44522</v>
      </c>
      <c r="U20" s="148">
        <v>44526</v>
      </c>
      <c r="V20" s="114"/>
      <c r="W20" s="145"/>
      <c r="X20" s="114"/>
      <c r="Y20" s="145"/>
      <c r="Z20" s="114"/>
      <c r="AA20" s="145"/>
      <c r="AB20" s="146">
        <v>44552</v>
      </c>
      <c r="AC20" s="148">
        <v>44554</v>
      </c>
      <c r="AD20" s="112">
        <v>44559</v>
      </c>
      <c r="AE20" s="153">
        <v>44566</v>
      </c>
      <c r="AF20" s="114">
        <v>44566</v>
      </c>
      <c r="AG20" s="145">
        <v>44573</v>
      </c>
      <c r="AH20" s="114">
        <v>44573</v>
      </c>
      <c r="AI20" s="145">
        <v>44580</v>
      </c>
      <c r="AJ20" s="114">
        <v>44580</v>
      </c>
      <c r="AK20" s="145">
        <v>44587</v>
      </c>
      <c r="AL20" s="114">
        <v>44587</v>
      </c>
      <c r="AM20" s="145">
        <v>44594</v>
      </c>
      <c r="AN20" s="114">
        <v>44594</v>
      </c>
      <c r="AO20" s="145">
        <v>44601</v>
      </c>
      <c r="AP20" s="114">
        <v>44601</v>
      </c>
      <c r="AQ20" s="145">
        <v>44608</v>
      </c>
      <c r="AR20" s="114">
        <v>44608</v>
      </c>
      <c r="AS20" s="145">
        <v>44610</v>
      </c>
      <c r="AT20" s="114">
        <v>44615</v>
      </c>
      <c r="AU20" s="145">
        <v>44622</v>
      </c>
      <c r="AV20" s="114">
        <v>44622</v>
      </c>
      <c r="AW20" s="145">
        <v>44629</v>
      </c>
      <c r="AX20" s="114">
        <v>44629</v>
      </c>
      <c r="AY20" s="145">
        <v>44636</v>
      </c>
      <c r="AZ20" s="114">
        <v>44622</v>
      </c>
      <c r="BA20" s="145">
        <v>44624</v>
      </c>
      <c r="BB20" s="114">
        <v>44636</v>
      </c>
      <c r="BC20" s="145">
        <v>44643</v>
      </c>
      <c r="BD20" s="114">
        <v>44650</v>
      </c>
      <c r="BE20" s="145">
        <v>44652</v>
      </c>
      <c r="BF20" s="114">
        <v>44650</v>
      </c>
      <c r="BG20" s="145">
        <v>44652</v>
      </c>
      <c r="BH20" s="114">
        <v>44657</v>
      </c>
      <c r="BI20" s="145">
        <v>44664</v>
      </c>
      <c r="BJ20" s="114">
        <v>44671</v>
      </c>
      <c r="BK20" s="145">
        <v>44673</v>
      </c>
      <c r="BL20" s="114"/>
      <c r="BM20" s="145"/>
      <c r="BN20" s="114"/>
      <c r="BO20" s="115"/>
    </row>
    <row r="21" spans="1:70" ht="24.95" customHeight="1" x14ac:dyDescent="0.25">
      <c r="A21" s="241"/>
      <c r="B21" s="244"/>
      <c r="C21" s="117" t="s">
        <v>426</v>
      </c>
      <c r="D21" s="123"/>
      <c r="E21" s="139"/>
      <c r="F21" s="123"/>
      <c r="G21" s="140"/>
      <c r="H21" s="123"/>
      <c r="I21" s="140"/>
      <c r="J21" s="123"/>
      <c r="K21" s="140"/>
      <c r="L21" s="123"/>
      <c r="M21" s="140"/>
      <c r="N21" s="141">
        <f>Q23+3</f>
        <v>44487</v>
      </c>
      <c r="O21" s="142">
        <f>N21+4</f>
        <v>44491</v>
      </c>
      <c r="P21" s="141">
        <f>O21+3</f>
        <v>44494</v>
      </c>
      <c r="Q21" s="143">
        <f>P21+4</f>
        <v>44498</v>
      </c>
      <c r="R21" s="141">
        <v>44515</v>
      </c>
      <c r="S21" s="143">
        <v>44519</v>
      </c>
      <c r="T21" s="141">
        <v>44522</v>
      </c>
      <c r="U21" s="143">
        <v>44526</v>
      </c>
      <c r="V21" s="123"/>
      <c r="W21" s="140"/>
      <c r="X21" s="123"/>
      <c r="Y21" s="140"/>
      <c r="Z21" s="123"/>
      <c r="AA21" s="140"/>
      <c r="AB21" s="141">
        <v>44552</v>
      </c>
      <c r="AC21" s="143">
        <v>44554</v>
      </c>
      <c r="AD21" s="121"/>
      <c r="AE21" s="154"/>
      <c r="AF21" s="123"/>
      <c r="AG21" s="140"/>
      <c r="AH21" s="123"/>
      <c r="AI21" s="140"/>
      <c r="AJ21" s="123"/>
      <c r="AK21" s="140"/>
      <c r="AL21" s="123"/>
      <c r="AM21" s="140"/>
      <c r="AN21" s="123"/>
      <c r="AO21" s="140"/>
      <c r="AP21" s="123"/>
      <c r="AQ21" s="140"/>
      <c r="AR21" s="123"/>
      <c r="AS21" s="140"/>
      <c r="AT21" s="123"/>
      <c r="AU21" s="140"/>
      <c r="AV21" s="123"/>
      <c r="AW21" s="140"/>
      <c r="AX21" s="123"/>
      <c r="AY21" s="140"/>
      <c r="AZ21" s="123"/>
      <c r="BA21" s="140"/>
      <c r="BB21" s="123"/>
      <c r="BC21" s="140"/>
      <c r="BD21" s="123"/>
      <c r="BE21" s="140"/>
      <c r="BF21" s="123"/>
      <c r="BG21" s="140"/>
      <c r="BH21" s="123"/>
      <c r="BI21" s="140"/>
      <c r="BJ21" s="123"/>
      <c r="BK21" s="140"/>
      <c r="BL21" s="123"/>
      <c r="BM21" s="140"/>
      <c r="BN21" s="123"/>
      <c r="BO21" s="124"/>
    </row>
    <row r="22" spans="1:70" ht="24.95" customHeight="1" x14ac:dyDescent="0.25">
      <c r="A22" s="241"/>
      <c r="B22" s="245" t="s">
        <v>50</v>
      </c>
      <c r="C22" s="108" t="s">
        <v>424</v>
      </c>
      <c r="D22" s="114"/>
      <c r="E22" s="144"/>
      <c r="F22" s="114"/>
      <c r="G22" s="145"/>
      <c r="H22" s="114"/>
      <c r="I22" s="145"/>
      <c r="J22" s="114"/>
      <c r="K22" s="145"/>
      <c r="L22" s="114"/>
      <c r="M22" s="145"/>
      <c r="N22" s="146">
        <v>44466</v>
      </c>
      <c r="O22" s="147">
        <v>44470</v>
      </c>
      <c r="P22" s="146">
        <v>44473</v>
      </c>
      <c r="Q22" s="148">
        <v>44477</v>
      </c>
      <c r="R22" s="146">
        <v>44501</v>
      </c>
      <c r="S22" s="148">
        <v>44505</v>
      </c>
      <c r="T22" s="146">
        <v>44515</v>
      </c>
      <c r="U22" s="148">
        <v>44519</v>
      </c>
      <c r="V22" s="114"/>
      <c r="W22" s="145"/>
      <c r="X22" s="114"/>
      <c r="Y22" s="145"/>
      <c r="Z22" s="114"/>
      <c r="AA22" s="145"/>
      <c r="AB22" s="146">
        <v>44550</v>
      </c>
      <c r="AC22" s="148">
        <v>44552</v>
      </c>
      <c r="AD22" s="155">
        <v>44552</v>
      </c>
      <c r="AE22" s="156">
        <v>44559</v>
      </c>
      <c r="AF22" s="112">
        <v>44559</v>
      </c>
      <c r="AG22" s="113">
        <v>44566</v>
      </c>
      <c r="AH22" s="114">
        <v>44566</v>
      </c>
      <c r="AI22" s="145">
        <v>44573</v>
      </c>
      <c r="AJ22" s="114">
        <v>44573</v>
      </c>
      <c r="AK22" s="145">
        <v>44580</v>
      </c>
      <c r="AL22" s="114">
        <v>44580</v>
      </c>
      <c r="AM22" s="145">
        <v>44587</v>
      </c>
      <c r="AN22" s="114">
        <v>44587</v>
      </c>
      <c r="AO22" s="145">
        <v>44594</v>
      </c>
      <c r="AP22" s="114">
        <v>44594</v>
      </c>
      <c r="AQ22" s="145">
        <v>44601</v>
      </c>
      <c r="AR22" s="114">
        <v>44606</v>
      </c>
      <c r="AS22" s="145">
        <v>44608</v>
      </c>
      <c r="AT22" s="114">
        <v>44608</v>
      </c>
      <c r="AU22" s="145">
        <v>44615</v>
      </c>
      <c r="AV22" s="114">
        <v>44615</v>
      </c>
      <c r="AW22" s="145">
        <v>44622</v>
      </c>
      <c r="AX22" s="114">
        <v>44622</v>
      </c>
      <c r="AY22" s="145">
        <v>44629</v>
      </c>
      <c r="AZ22" s="114">
        <v>44622</v>
      </c>
      <c r="BA22" s="145">
        <v>44624</v>
      </c>
      <c r="BB22" s="114">
        <v>44629</v>
      </c>
      <c r="BC22" s="145">
        <v>44636</v>
      </c>
      <c r="BD22" s="114">
        <v>44648</v>
      </c>
      <c r="BE22" s="145">
        <v>44650</v>
      </c>
      <c r="BF22" s="114">
        <v>44648</v>
      </c>
      <c r="BG22" s="145">
        <v>44650</v>
      </c>
      <c r="BH22" s="114">
        <v>44650</v>
      </c>
      <c r="BI22" s="145">
        <v>44657</v>
      </c>
      <c r="BJ22" s="114">
        <v>44669</v>
      </c>
      <c r="BK22" s="145">
        <v>44671</v>
      </c>
      <c r="BL22" s="114"/>
      <c r="BM22" s="145"/>
      <c r="BN22" s="114"/>
      <c r="BO22" s="115"/>
    </row>
    <row r="23" spans="1:70" ht="24.95" customHeight="1" x14ac:dyDescent="0.25">
      <c r="A23" s="241"/>
      <c r="B23" s="244"/>
      <c r="C23" s="117" t="s">
        <v>426</v>
      </c>
      <c r="D23" s="123"/>
      <c r="E23" s="139"/>
      <c r="F23" s="123"/>
      <c r="G23" s="140"/>
      <c r="H23" s="123"/>
      <c r="I23" s="140"/>
      <c r="J23" s="123"/>
      <c r="K23" s="140"/>
      <c r="L23" s="123"/>
      <c r="M23" s="140"/>
      <c r="N23" s="141">
        <v>44466</v>
      </c>
      <c r="O23" s="142">
        <v>44477</v>
      </c>
      <c r="P23" s="141">
        <v>44480</v>
      </c>
      <c r="Q23" s="143">
        <v>44484</v>
      </c>
      <c r="R23" s="141">
        <v>44508</v>
      </c>
      <c r="S23" s="143">
        <v>44512</v>
      </c>
      <c r="T23" s="141">
        <v>44515</v>
      </c>
      <c r="U23" s="143">
        <v>44519</v>
      </c>
      <c r="V23" s="123"/>
      <c r="W23" s="140"/>
      <c r="X23" s="123"/>
      <c r="Y23" s="140"/>
      <c r="Z23" s="123"/>
      <c r="AA23" s="140"/>
      <c r="AB23" s="141">
        <v>44550</v>
      </c>
      <c r="AC23" s="143">
        <v>44552</v>
      </c>
      <c r="AD23" s="157">
        <v>44559</v>
      </c>
      <c r="AE23" s="158">
        <v>0.5</v>
      </c>
      <c r="AF23" s="121"/>
      <c r="AG23" s="122"/>
      <c r="AH23" s="123"/>
      <c r="AI23" s="140"/>
      <c r="AJ23" s="123"/>
      <c r="AK23" s="140"/>
      <c r="AL23" s="123"/>
      <c r="AM23" s="140"/>
      <c r="AN23" s="123"/>
      <c r="AO23" s="140"/>
      <c r="AP23" s="123"/>
      <c r="AQ23" s="140"/>
      <c r="AR23" s="123"/>
      <c r="AS23" s="140"/>
      <c r="AT23" s="123"/>
      <c r="AU23" s="140"/>
      <c r="AV23" s="123"/>
      <c r="AW23" s="140"/>
      <c r="AX23" s="123"/>
      <c r="AY23" s="140"/>
      <c r="AZ23" s="123"/>
      <c r="BA23" s="140"/>
      <c r="BB23" s="123"/>
      <c r="BC23" s="140"/>
      <c r="BD23" s="123"/>
      <c r="BE23" s="140"/>
      <c r="BF23" s="123"/>
      <c r="BG23" s="140"/>
      <c r="BH23" s="123"/>
      <c r="BI23" s="140"/>
      <c r="BJ23" s="123"/>
      <c r="BK23" s="140"/>
      <c r="BL23" s="123"/>
      <c r="BM23" s="140"/>
      <c r="BN23" s="123"/>
      <c r="BO23" s="124"/>
    </row>
    <row r="24" spans="1:70" ht="24.95" customHeight="1" x14ac:dyDescent="0.25">
      <c r="A24" s="241"/>
      <c r="B24" s="245" t="s">
        <v>23</v>
      </c>
      <c r="C24" s="108" t="s">
        <v>424</v>
      </c>
      <c r="D24" s="146">
        <v>44424</v>
      </c>
      <c r="E24" s="147">
        <v>44428</v>
      </c>
      <c r="F24" s="146">
        <v>44431</v>
      </c>
      <c r="G24" s="148">
        <v>44442</v>
      </c>
      <c r="H24" s="146">
        <v>44445</v>
      </c>
      <c r="I24" s="148">
        <v>44449</v>
      </c>
      <c r="J24" s="146">
        <v>44452</v>
      </c>
      <c r="K24" s="148">
        <v>44456</v>
      </c>
      <c r="L24" s="146">
        <v>44459</v>
      </c>
      <c r="M24" s="148">
        <v>44463</v>
      </c>
      <c r="N24" s="114"/>
      <c r="O24" s="144"/>
      <c r="P24" s="114"/>
      <c r="Q24" s="145"/>
      <c r="R24" s="114"/>
      <c r="S24" s="145"/>
      <c r="T24" s="114"/>
      <c r="U24" s="145"/>
      <c r="V24" s="114"/>
      <c r="W24" s="145"/>
      <c r="X24" s="114"/>
      <c r="Y24" s="145"/>
      <c r="Z24" s="114"/>
      <c r="AA24" s="145"/>
      <c r="AB24" s="114"/>
      <c r="AC24" s="145"/>
      <c r="AD24" s="114"/>
      <c r="AE24" s="144"/>
      <c r="AF24" s="114"/>
      <c r="AG24" s="145"/>
      <c r="AH24" s="114"/>
      <c r="AI24" s="145"/>
      <c r="AJ24" s="114"/>
      <c r="AK24" s="145"/>
      <c r="AL24" s="114"/>
      <c r="AM24" s="145"/>
      <c r="AN24" s="114"/>
      <c r="AO24" s="145"/>
      <c r="AP24" s="114"/>
      <c r="AQ24" s="145"/>
      <c r="AR24" s="114"/>
      <c r="AS24" s="145"/>
      <c r="AT24" s="114"/>
      <c r="AU24" s="145"/>
      <c r="AV24" s="114"/>
      <c r="AW24" s="145"/>
      <c r="AX24" s="114"/>
      <c r="AY24" s="145"/>
      <c r="AZ24" s="114"/>
      <c r="BA24" s="145"/>
      <c r="BB24" s="114"/>
      <c r="BC24" s="145"/>
      <c r="BD24" s="114"/>
      <c r="BE24" s="145"/>
      <c r="BF24" s="114"/>
      <c r="BG24" s="145"/>
      <c r="BH24" s="114"/>
      <c r="BI24" s="145"/>
      <c r="BJ24" s="114"/>
      <c r="BK24" s="145"/>
      <c r="BL24" s="114"/>
      <c r="BM24" s="145"/>
      <c r="BN24" s="114"/>
      <c r="BO24" s="115"/>
    </row>
    <row r="25" spans="1:70" ht="24.95" customHeight="1" thickBot="1" x14ac:dyDescent="0.3">
      <c r="A25" s="242"/>
      <c r="B25" s="246"/>
      <c r="C25" s="126" t="s">
        <v>426</v>
      </c>
      <c r="D25" s="159">
        <v>44424</v>
      </c>
      <c r="E25" s="160">
        <v>44428</v>
      </c>
      <c r="F25" s="159">
        <v>44431</v>
      </c>
      <c r="G25" s="161">
        <v>44449</v>
      </c>
      <c r="H25" s="159">
        <v>44452</v>
      </c>
      <c r="I25" s="161">
        <v>44456</v>
      </c>
      <c r="J25" s="159">
        <v>44459</v>
      </c>
      <c r="K25" s="161">
        <v>44460</v>
      </c>
      <c r="L25" s="159">
        <v>44461</v>
      </c>
      <c r="M25" s="161">
        <v>44463</v>
      </c>
      <c r="N25" s="132"/>
      <c r="O25" s="162"/>
      <c r="P25" s="132"/>
      <c r="Q25" s="163"/>
      <c r="R25" s="132"/>
      <c r="S25" s="163"/>
      <c r="T25" s="132"/>
      <c r="U25" s="163"/>
      <c r="V25" s="132"/>
      <c r="W25" s="163"/>
      <c r="X25" s="132"/>
      <c r="Y25" s="163"/>
      <c r="Z25" s="132"/>
      <c r="AA25" s="163"/>
      <c r="AB25" s="132"/>
      <c r="AC25" s="163"/>
      <c r="AD25" s="132"/>
      <c r="AE25" s="162"/>
      <c r="AF25" s="132"/>
      <c r="AG25" s="163"/>
      <c r="AH25" s="132"/>
      <c r="AI25" s="163"/>
      <c r="AJ25" s="132"/>
      <c r="AK25" s="163"/>
      <c r="AL25" s="132"/>
      <c r="AM25" s="163"/>
      <c r="AN25" s="132"/>
      <c r="AO25" s="163"/>
      <c r="AP25" s="132"/>
      <c r="AQ25" s="163"/>
      <c r="AR25" s="132"/>
      <c r="AS25" s="163"/>
      <c r="AT25" s="132"/>
      <c r="AU25" s="163"/>
      <c r="AV25" s="132"/>
      <c r="AW25" s="163"/>
      <c r="AX25" s="132"/>
      <c r="AY25" s="163"/>
      <c r="AZ25" s="132"/>
      <c r="BA25" s="163"/>
      <c r="BB25" s="132"/>
      <c r="BC25" s="163"/>
      <c r="BD25" s="132"/>
      <c r="BE25" s="163"/>
      <c r="BF25" s="132"/>
      <c r="BG25" s="163"/>
      <c r="BH25" s="132"/>
      <c r="BI25" s="163"/>
      <c r="BJ25" s="132"/>
      <c r="BK25" s="163"/>
      <c r="BL25" s="132"/>
      <c r="BM25" s="163"/>
      <c r="BN25" s="132"/>
      <c r="BO25" s="133"/>
    </row>
    <row r="26" spans="1:70" s="164" customFormat="1" ht="31.5" x14ac:dyDescent="0.25">
      <c r="B26" s="165"/>
      <c r="C26" s="165"/>
      <c r="D26" s="166" t="s">
        <v>7</v>
      </c>
      <c r="E26" s="167" t="s">
        <v>365</v>
      </c>
      <c r="F26" s="168" t="s">
        <v>7</v>
      </c>
      <c r="G26" s="169" t="s">
        <v>365</v>
      </c>
      <c r="H26" s="168" t="s">
        <v>7</v>
      </c>
      <c r="I26" s="169" t="s">
        <v>365</v>
      </c>
      <c r="J26" s="168" t="s">
        <v>7</v>
      </c>
      <c r="K26" s="169" t="s">
        <v>365</v>
      </c>
      <c r="L26" s="168" t="s">
        <v>7</v>
      </c>
      <c r="M26" s="169" t="s">
        <v>365</v>
      </c>
      <c r="N26" s="168" t="s">
        <v>7</v>
      </c>
      <c r="O26" s="167" t="s">
        <v>365</v>
      </c>
      <c r="P26" s="168" t="s">
        <v>7</v>
      </c>
      <c r="Q26" s="169" t="s">
        <v>365</v>
      </c>
      <c r="R26" s="168" t="s">
        <v>7</v>
      </c>
      <c r="S26" s="169" t="s">
        <v>365</v>
      </c>
      <c r="T26" s="168" t="s">
        <v>7</v>
      </c>
      <c r="U26" s="169" t="s">
        <v>365</v>
      </c>
      <c r="V26" s="168" t="s">
        <v>7</v>
      </c>
      <c r="W26" s="169" t="s">
        <v>365</v>
      </c>
      <c r="X26" s="168" t="s">
        <v>7</v>
      </c>
      <c r="Y26" s="169" t="s">
        <v>365</v>
      </c>
      <c r="Z26" s="168" t="s">
        <v>7</v>
      </c>
      <c r="AA26" s="169" t="s">
        <v>365</v>
      </c>
      <c r="AB26" s="168" t="s">
        <v>7</v>
      </c>
      <c r="AC26" s="169" t="s">
        <v>365</v>
      </c>
      <c r="AD26" s="168" t="s">
        <v>7</v>
      </c>
      <c r="AE26" s="167" t="s">
        <v>365</v>
      </c>
      <c r="AF26" s="168" t="s">
        <v>7</v>
      </c>
      <c r="AG26" s="169" t="s">
        <v>365</v>
      </c>
      <c r="AH26" s="168" t="s">
        <v>7</v>
      </c>
      <c r="AI26" s="169" t="s">
        <v>365</v>
      </c>
      <c r="AJ26" s="168" t="s">
        <v>7</v>
      </c>
      <c r="AK26" s="169" t="s">
        <v>365</v>
      </c>
      <c r="AL26" s="168" t="s">
        <v>7</v>
      </c>
      <c r="AM26" s="169" t="s">
        <v>365</v>
      </c>
      <c r="AN26" s="168" t="s">
        <v>7</v>
      </c>
      <c r="AO26" s="169" t="s">
        <v>365</v>
      </c>
      <c r="AP26" s="168" t="s">
        <v>7</v>
      </c>
      <c r="AQ26" s="169" t="s">
        <v>365</v>
      </c>
      <c r="AR26" s="168" t="s">
        <v>7</v>
      </c>
      <c r="AS26" s="169" t="s">
        <v>365</v>
      </c>
      <c r="AT26" s="168" t="s">
        <v>7</v>
      </c>
      <c r="AU26" s="169" t="s">
        <v>365</v>
      </c>
      <c r="AV26" s="168" t="s">
        <v>7</v>
      </c>
      <c r="AW26" s="169" t="s">
        <v>365</v>
      </c>
      <c r="AX26" s="168" t="s">
        <v>7</v>
      </c>
      <c r="AY26" s="169" t="s">
        <v>365</v>
      </c>
      <c r="AZ26" s="168" t="s">
        <v>7</v>
      </c>
      <c r="BA26" s="169" t="s">
        <v>365</v>
      </c>
      <c r="BB26" s="168" t="s">
        <v>7</v>
      </c>
      <c r="BC26" s="169" t="s">
        <v>365</v>
      </c>
      <c r="BD26" s="168" t="s">
        <v>7</v>
      </c>
      <c r="BE26" s="169" t="s">
        <v>365</v>
      </c>
      <c r="BF26" s="168" t="s">
        <v>7</v>
      </c>
      <c r="BG26" s="169" t="s">
        <v>365</v>
      </c>
      <c r="BH26" s="168" t="s">
        <v>7</v>
      </c>
      <c r="BI26" s="169" t="s">
        <v>365</v>
      </c>
      <c r="BJ26" s="168" t="s">
        <v>7</v>
      </c>
      <c r="BK26" s="169" t="s">
        <v>365</v>
      </c>
      <c r="BL26" s="168" t="s">
        <v>7</v>
      </c>
      <c r="BM26" s="169" t="s">
        <v>365</v>
      </c>
      <c r="BN26" s="168" t="s">
        <v>7</v>
      </c>
      <c r="BO26" s="170" t="s">
        <v>365</v>
      </c>
      <c r="BR26" s="171"/>
    </row>
    <row r="27" spans="1:70" ht="210" customHeight="1" thickBot="1" x14ac:dyDescent="0.3">
      <c r="D27" s="239" t="s">
        <v>387</v>
      </c>
      <c r="E27" s="238"/>
      <c r="F27" s="235" t="s">
        <v>388</v>
      </c>
      <c r="G27" s="236"/>
      <c r="H27" s="235" t="s">
        <v>389</v>
      </c>
      <c r="I27" s="236"/>
      <c r="J27" s="235" t="s">
        <v>390</v>
      </c>
      <c r="K27" s="236"/>
      <c r="L27" s="235" t="s">
        <v>391</v>
      </c>
      <c r="M27" s="236"/>
      <c r="N27" s="235" t="s">
        <v>392</v>
      </c>
      <c r="O27" s="238"/>
      <c r="P27" s="235" t="s">
        <v>393</v>
      </c>
      <c r="Q27" s="236"/>
      <c r="R27" s="235" t="s">
        <v>394</v>
      </c>
      <c r="S27" s="236"/>
      <c r="T27" s="235" t="s">
        <v>395</v>
      </c>
      <c r="U27" s="236"/>
      <c r="V27" s="235" t="s">
        <v>415</v>
      </c>
      <c r="W27" s="236"/>
      <c r="X27" s="235" t="s">
        <v>416</v>
      </c>
      <c r="Y27" s="236"/>
      <c r="Z27" s="235" t="s">
        <v>417</v>
      </c>
      <c r="AA27" s="236"/>
      <c r="AB27" s="235" t="s">
        <v>396</v>
      </c>
      <c r="AC27" s="236"/>
      <c r="AD27" s="235" t="s">
        <v>397</v>
      </c>
      <c r="AE27" s="238"/>
      <c r="AF27" s="235" t="s">
        <v>398</v>
      </c>
      <c r="AG27" s="236"/>
      <c r="AH27" s="235" t="s">
        <v>399</v>
      </c>
      <c r="AI27" s="236"/>
      <c r="AJ27" s="235" t="s">
        <v>400</v>
      </c>
      <c r="AK27" s="236"/>
      <c r="AL27" s="235" t="s">
        <v>401</v>
      </c>
      <c r="AM27" s="236"/>
      <c r="AN27" s="235" t="s">
        <v>402</v>
      </c>
      <c r="AO27" s="236"/>
      <c r="AP27" s="235" t="s">
        <v>403</v>
      </c>
      <c r="AQ27" s="236"/>
      <c r="AR27" s="235" t="s">
        <v>404</v>
      </c>
      <c r="AS27" s="236"/>
      <c r="AT27" s="235" t="s">
        <v>405</v>
      </c>
      <c r="AU27" s="236"/>
      <c r="AV27" s="235" t="s">
        <v>406</v>
      </c>
      <c r="AW27" s="236"/>
      <c r="AX27" s="235" t="s">
        <v>407</v>
      </c>
      <c r="AY27" s="236"/>
      <c r="AZ27" s="235" t="s">
        <v>408</v>
      </c>
      <c r="BA27" s="236"/>
      <c r="BB27" s="235" t="s">
        <v>409</v>
      </c>
      <c r="BC27" s="236"/>
      <c r="BD27" s="235" t="s">
        <v>410</v>
      </c>
      <c r="BE27" s="236"/>
      <c r="BF27" s="235" t="s">
        <v>411</v>
      </c>
      <c r="BG27" s="236"/>
      <c r="BH27" s="235" t="s">
        <v>412</v>
      </c>
      <c r="BI27" s="236"/>
      <c r="BJ27" s="235" t="s">
        <v>413</v>
      </c>
      <c r="BK27" s="236"/>
      <c r="BL27" s="235" t="s">
        <v>418</v>
      </c>
      <c r="BM27" s="236"/>
      <c r="BN27" s="235" t="s">
        <v>419</v>
      </c>
      <c r="BO27" s="237"/>
    </row>
    <row r="28" spans="1:70" ht="18.75" x14ac:dyDescent="0.25">
      <c r="AB28">
        <v>50</v>
      </c>
      <c r="AE28">
        <v>0</v>
      </c>
      <c r="AF28">
        <v>0</v>
      </c>
      <c r="BM28">
        <v>0</v>
      </c>
    </row>
    <row r="29" spans="1:70" ht="18.75" x14ac:dyDescent="0.25">
      <c r="AB29">
        <v>4</v>
      </c>
      <c r="AD29">
        <v>2</v>
      </c>
    </row>
    <row r="30" spans="1:70" ht="18.75" x14ac:dyDescent="0.25">
      <c r="AB30">
        <v>2</v>
      </c>
      <c r="AD30">
        <v>0</v>
      </c>
    </row>
  </sheetData>
  <customSheetViews>
    <customSheetView guid="{28BE6562-61BE-42C3-B697-462A6F62428C}" scale="55" showGridLines="0">
      <selection activeCell="BS17" sqref="BS17"/>
      <pageMargins left="0.511811024" right="0.511811024" top="0.78740157499999996" bottom="0.78740157499999996" header="0.31496062000000002" footer="0.31496062000000002"/>
    </customSheetView>
    <customSheetView guid="{00F68F5D-E7EC-4A9D-A8F7-19E9173D4D0E}" scale="55" showGridLines="0">
      <selection activeCell="BS17" sqref="BS17"/>
      <pageMargins left="0.511811024" right="0.511811024" top="0.78740157499999996" bottom="0.78740157499999996" header="0.31496062000000002" footer="0.31496062000000002"/>
    </customSheetView>
  </customSheetViews>
  <mergeCells count="46">
    <mergeCell ref="A2:A13"/>
    <mergeCell ref="B2:B3"/>
    <mergeCell ref="B4:B5"/>
    <mergeCell ref="B6:B7"/>
    <mergeCell ref="B8:B9"/>
    <mergeCell ref="B10:B11"/>
    <mergeCell ref="B12:B13"/>
    <mergeCell ref="A14:A25"/>
    <mergeCell ref="B14:B15"/>
    <mergeCell ref="B16:B17"/>
    <mergeCell ref="B18:B19"/>
    <mergeCell ref="B20:B21"/>
    <mergeCell ref="B22:B23"/>
    <mergeCell ref="B24:B25"/>
    <mergeCell ref="Z27:AA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X27:AY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BL27:BM27"/>
    <mergeCell ref="BN27:BO27"/>
    <mergeCell ref="AZ27:BA27"/>
    <mergeCell ref="BB27:BC27"/>
    <mergeCell ref="BD27:BE27"/>
    <mergeCell ref="BF27:BG27"/>
    <mergeCell ref="BH27:BI27"/>
    <mergeCell ref="BJ27:BK27"/>
  </mergeCells>
  <conditionalFormatting sqref="D15:M15 P24:BK25 D20:BK20 D18:BK18 D16:BK16 V17:AA17 V19:AA19 V21:AA23 D14:O14 R14:BK15">
    <cfRule type="cellIs" dxfId="73" priority="29" operator="lessThan">
      <formula>TODAY()</formula>
    </cfRule>
  </conditionalFormatting>
  <conditionalFormatting sqref="N22:BK22">
    <cfRule type="cellIs" dxfId="72" priority="28" operator="lessThan">
      <formula>TODAY()</formula>
    </cfRule>
  </conditionalFormatting>
  <conditionalFormatting sqref="N22:BK22">
    <cfRule type="cellIs" dxfId="71" priority="27" operator="equal">
      <formula>0</formula>
    </cfRule>
  </conditionalFormatting>
  <conditionalFormatting sqref="D21:M21 D19:M19 D17:M17">
    <cfRule type="cellIs" dxfId="70" priority="26" operator="lessThan">
      <formula>TODAY()</formula>
    </cfRule>
  </conditionalFormatting>
  <conditionalFormatting sqref="D21:M21 D19:M19 D17:M17 D15:M15 D20:BK20 D18:BK18 D16:BK16 P24:BK25 V17:AA17 V19:AA19 V21:AA23 D14:O14 R14:BK15">
    <cfRule type="cellIs" dxfId="69" priority="25" operator="equal">
      <formula>0</formula>
    </cfRule>
  </conditionalFormatting>
  <conditionalFormatting sqref="N24:BK25">
    <cfRule type="cellIs" dxfId="68" priority="24" operator="lessThan">
      <formula>TODAY()</formula>
    </cfRule>
  </conditionalFormatting>
  <conditionalFormatting sqref="N24:BK25">
    <cfRule type="cellIs" dxfId="67" priority="23" operator="equal">
      <formula>0</formula>
    </cfRule>
  </conditionalFormatting>
  <conditionalFormatting sqref="D22:M23">
    <cfRule type="cellIs" dxfId="66" priority="22" operator="lessThan">
      <formula>TODAY()</formula>
    </cfRule>
  </conditionalFormatting>
  <conditionalFormatting sqref="D22:M23">
    <cfRule type="cellIs" dxfId="65" priority="21" operator="equal">
      <formula>0</formula>
    </cfRule>
  </conditionalFormatting>
  <conditionalFormatting sqref="P14:Q15">
    <cfRule type="cellIs" dxfId="64" priority="19" operator="lessThan">
      <formula>TODAY()</formula>
    </cfRule>
  </conditionalFormatting>
  <conditionalFormatting sqref="P14:Q15">
    <cfRule type="cellIs" dxfId="63" priority="18" operator="equal">
      <formula>0</formula>
    </cfRule>
  </conditionalFormatting>
  <conditionalFormatting sqref="P14:Q15">
    <cfRule type="cellIs" dxfId="62" priority="20" operator="lessThan">
      <formula>$BR$1</formula>
    </cfRule>
  </conditionalFormatting>
  <conditionalFormatting sqref="BL6:BO6 BL4:BO4 BL12:BO12 BL2:BO2 BL10:BO10">
    <cfRule type="cellIs" dxfId="61" priority="17" operator="lessThan">
      <formula>TODAY()</formula>
    </cfRule>
  </conditionalFormatting>
  <conditionalFormatting sqref="BL8:BO8">
    <cfRule type="cellIs" dxfId="60" priority="16" operator="lessThan">
      <formula>TODAY()</formula>
    </cfRule>
  </conditionalFormatting>
  <conditionalFormatting sqref="BL8:BO8">
    <cfRule type="cellIs" dxfId="59" priority="15" operator="equal">
      <formula>0</formula>
    </cfRule>
  </conditionalFormatting>
  <conditionalFormatting sqref="BL6:BO6 BL4:BO4 BL12:BO12 BL2:BO2 BL10:BO10">
    <cfRule type="cellIs" dxfId="58" priority="14" operator="equal">
      <formula>0</formula>
    </cfRule>
  </conditionalFormatting>
  <conditionalFormatting sqref="BL16:BO25">
    <cfRule type="cellIs" dxfId="57" priority="13" operator="lessThan">
      <formula>TODAY()</formula>
    </cfRule>
  </conditionalFormatting>
  <conditionalFormatting sqref="BL16:BO25">
    <cfRule type="cellIs" dxfId="56" priority="12" operator="equal">
      <formula>0</formula>
    </cfRule>
  </conditionalFormatting>
  <conditionalFormatting sqref="BL14:BO15">
    <cfRule type="cellIs" dxfId="55" priority="11" operator="lessThan">
      <formula>TODAY()</formula>
    </cfRule>
  </conditionalFormatting>
  <conditionalFormatting sqref="BL14:BO15">
    <cfRule type="cellIs" dxfId="54" priority="10" operator="equal">
      <formula>0</formula>
    </cfRule>
  </conditionalFormatting>
  <conditionalFormatting sqref="D2:BK13">
    <cfRule type="cellIs" dxfId="53" priority="9" operator="lessThan">
      <formula>TODAY()</formula>
    </cfRule>
  </conditionalFormatting>
  <conditionalFormatting sqref="D2:BK13">
    <cfRule type="cellIs" dxfId="52" priority="8" operator="equal">
      <formula>0</formula>
    </cfRule>
  </conditionalFormatting>
  <conditionalFormatting sqref="C20 C18 C14:C16">
    <cfRule type="cellIs" dxfId="51" priority="7" operator="lessThan">
      <formula>TODAY()</formula>
    </cfRule>
  </conditionalFormatting>
  <conditionalFormatting sqref="C21 C19 C17">
    <cfRule type="cellIs" dxfId="50" priority="6" operator="lessThan">
      <formula>TODAY()</formula>
    </cfRule>
  </conditionalFormatting>
  <conditionalFormatting sqref="C14:C21">
    <cfRule type="cellIs" dxfId="49" priority="5" operator="equal">
      <formula>0</formula>
    </cfRule>
  </conditionalFormatting>
  <conditionalFormatting sqref="C22:C23">
    <cfRule type="cellIs" dxfId="48" priority="4" operator="lessThan">
      <formula>TODAY()</formula>
    </cfRule>
  </conditionalFormatting>
  <conditionalFormatting sqref="C22:C23">
    <cfRule type="cellIs" dxfId="47" priority="3" operator="equal">
      <formula>0</formula>
    </cfRule>
  </conditionalFormatting>
  <conditionalFormatting sqref="C2:C13">
    <cfRule type="cellIs" dxfId="46" priority="2" operator="lessThan">
      <formula>TODAY()</formula>
    </cfRule>
  </conditionalFormatting>
  <conditionalFormatting sqref="C2:C13">
    <cfRule type="cellIs" dxfId="45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10CA-6B46-4754-9978-B1D39FF62F34}">
  <sheetPr>
    <tabColor rgb="FFFF0000"/>
  </sheetPr>
  <dimension ref="A1:AQ126"/>
  <sheetViews>
    <sheetView topLeftCell="G1" zoomScale="55" zoomScaleNormal="55" workbookViewId="0">
      <selection activeCell="AP1" sqref="AP1:AQ1048576"/>
    </sheetView>
  </sheetViews>
  <sheetFormatPr defaultRowHeight="15" outlineLevelCol="1" x14ac:dyDescent="0.25"/>
  <cols>
    <col min="1" max="1" width="10.85546875" bestFit="1" customWidth="1"/>
    <col min="2" max="2" width="34.28515625" customWidth="1"/>
    <col min="3" max="3" width="28.7109375" customWidth="1" outlineLevel="1"/>
    <col min="4" max="4" width="63.7109375" customWidth="1" outlineLevel="1"/>
    <col min="5" max="5" width="17.28515625" customWidth="1" outlineLevel="1"/>
    <col min="6" max="6" width="15.140625" customWidth="1" outlineLevel="1"/>
    <col min="7" max="7" width="25.7109375" style="66" customWidth="1"/>
    <col min="8" max="9" width="25.7109375" style="2" customWidth="1"/>
    <col min="10" max="10" width="14.42578125" style="212" bestFit="1" customWidth="1"/>
    <col min="11" max="11" width="16.28515625" style="212" customWidth="1"/>
    <col min="12" max="12" width="25.7109375" style="189" customWidth="1"/>
    <col min="13" max="13" width="19.5703125" customWidth="1"/>
    <col min="14" max="14" width="15.140625" customWidth="1"/>
    <col min="15" max="15" width="25.5703125" customWidth="1"/>
    <col min="16" max="16" width="22.42578125" style="79" customWidth="1"/>
    <col min="17" max="21" width="15.5703125" style="2" hidden="1" customWidth="1" outlineLevel="1"/>
    <col min="22" max="22" width="15.5703125" style="189" hidden="1" customWidth="1" outlineLevel="1"/>
    <col min="23" max="23" width="15.5703125" style="2" hidden="1" customWidth="1" outlineLevel="1"/>
    <col min="24" max="24" width="25.7109375" style="215" customWidth="1" collapsed="1"/>
    <col min="25" max="26" width="25.7109375" style="2" customWidth="1"/>
    <col min="27" max="27" width="19" customWidth="1"/>
    <col min="28" max="28" width="20.140625" customWidth="1"/>
    <col min="29" max="29" width="21.28515625" customWidth="1"/>
    <col min="30" max="32" width="18.85546875" customWidth="1"/>
    <col min="33" max="33" width="18.5703125" style="2" customWidth="1"/>
    <col min="34" max="34" width="25.5703125" style="12" customWidth="1"/>
    <col min="35" max="36" width="21.5703125" style="2" customWidth="1"/>
    <col min="37" max="38" width="20.7109375" style="2" customWidth="1"/>
    <col min="39" max="39" width="20.7109375" style="189" customWidth="1"/>
    <col min="40" max="40" width="25.5703125" style="2" customWidth="1"/>
    <col min="41" max="41" width="20.7109375" style="2" customWidth="1"/>
    <col min="42" max="42" width="15.28515625" style="217" customWidth="1"/>
    <col min="43" max="43" width="20.7109375" style="2" customWidth="1"/>
  </cols>
  <sheetData>
    <row r="1" spans="1:43" s="28" customFormat="1" x14ac:dyDescent="0.25">
      <c r="A1" s="22" t="s">
        <v>0</v>
      </c>
      <c r="B1" s="22" t="s">
        <v>1</v>
      </c>
      <c r="C1" s="22" t="s">
        <v>386</v>
      </c>
      <c r="D1" s="22" t="s">
        <v>579</v>
      </c>
      <c r="E1" s="22" t="s">
        <v>2</v>
      </c>
      <c r="F1" s="22" t="s">
        <v>3</v>
      </c>
      <c r="G1" s="64" t="s">
        <v>4</v>
      </c>
      <c r="H1" s="23" t="s">
        <v>5</v>
      </c>
      <c r="I1" s="23" t="s">
        <v>6</v>
      </c>
      <c r="J1" s="211" t="s">
        <v>7</v>
      </c>
      <c r="K1" s="211" t="s">
        <v>8</v>
      </c>
      <c r="L1" s="195" t="s">
        <v>9</v>
      </c>
      <c r="M1" s="22" t="s">
        <v>10</v>
      </c>
      <c r="N1" s="22" t="s">
        <v>11</v>
      </c>
      <c r="O1" s="22" t="s">
        <v>12</v>
      </c>
      <c r="P1" s="197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578</v>
      </c>
      <c r="V1" s="224" t="s">
        <v>18</v>
      </c>
      <c r="W1" s="25" t="s">
        <v>19</v>
      </c>
      <c r="X1" s="213" t="s">
        <v>575</v>
      </c>
      <c r="Y1" s="23" t="s">
        <v>571</v>
      </c>
      <c r="Z1" s="23" t="s">
        <v>20</v>
      </c>
      <c r="AA1" s="23" t="s">
        <v>325</v>
      </c>
      <c r="AB1" s="23" t="s">
        <v>326</v>
      </c>
      <c r="AC1" s="23" t="s">
        <v>327</v>
      </c>
      <c r="AD1" s="24" t="s">
        <v>569</v>
      </c>
      <c r="AE1" s="24" t="s">
        <v>570</v>
      </c>
      <c r="AF1" s="24" t="s">
        <v>328</v>
      </c>
      <c r="AG1" s="24" t="s">
        <v>329</v>
      </c>
      <c r="AH1" s="26" t="s">
        <v>330</v>
      </c>
      <c r="AI1" s="27" t="s">
        <v>335</v>
      </c>
      <c r="AJ1" s="27" t="s">
        <v>334</v>
      </c>
      <c r="AK1" s="27" t="s">
        <v>331</v>
      </c>
      <c r="AL1" s="27" t="s">
        <v>332</v>
      </c>
      <c r="AM1" s="219" t="s">
        <v>333</v>
      </c>
      <c r="AN1" s="27" t="s">
        <v>545</v>
      </c>
      <c r="AO1" s="27" t="s">
        <v>546</v>
      </c>
      <c r="AP1" s="216" t="s">
        <v>548</v>
      </c>
      <c r="AQ1" s="27" t="s">
        <v>547</v>
      </c>
    </row>
    <row r="2" spans="1:43" x14ac:dyDescent="0.25">
      <c r="A2" s="20">
        <v>1</v>
      </c>
      <c r="B2" s="20" t="s">
        <v>21</v>
      </c>
      <c r="C2" s="20"/>
      <c r="D2" s="20" t="str">
        <f t="shared" ref="D2:D65" si="0">CONCATENATE(B2,R2)</f>
        <v>ESTRUTURA/ACABAMENTOS</v>
      </c>
      <c r="E2" s="20"/>
      <c r="F2" s="20"/>
      <c r="G2" s="65">
        <v>185</v>
      </c>
      <c r="H2" s="18">
        <v>44424</v>
      </c>
      <c r="I2" s="18">
        <v>44680</v>
      </c>
      <c r="J2" s="17"/>
      <c r="K2" s="17"/>
      <c r="L2" s="196"/>
      <c r="M2" s="21">
        <v>0</v>
      </c>
      <c r="N2" s="20"/>
      <c r="O2" s="20"/>
      <c r="P2" s="194">
        <v>0</v>
      </c>
      <c r="Q2" s="19"/>
      <c r="R2" s="19"/>
      <c r="S2" s="19"/>
      <c r="T2" s="19"/>
      <c r="U2" s="19"/>
      <c r="V2" s="225"/>
      <c r="W2" s="19"/>
      <c r="X2" s="214">
        <f>L2/$L$126</f>
        <v>0</v>
      </c>
      <c r="Y2" s="6"/>
      <c r="Z2" s="6"/>
      <c r="AA2" s="6">
        <f>IFERROR(VLOOKUP(H2,SEMANAS!$B$1:$D$301,2,0),0)</f>
        <v>1</v>
      </c>
      <c r="AB2" s="6">
        <f>IFERROR(VLOOKUP(I2,SEMANAS!$B$1:$D$301,2,0),0)</f>
        <v>37</v>
      </c>
      <c r="AC2" s="15">
        <f>Z2*L2</f>
        <v>0</v>
      </c>
      <c r="AD2" s="10">
        <f>K2-J2</f>
        <v>0</v>
      </c>
      <c r="AE2" s="10"/>
      <c r="AF2" s="10">
        <f>IFERROR(VLOOKUP(J2,SEMANAS!$B$1:$D$301,2,0),0)</f>
        <v>0</v>
      </c>
      <c r="AG2" s="10">
        <f>IFERROR(VLOOKUP(K2,SEMANAS!$B$1:$D$301,2,0),0)</f>
        <v>0</v>
      </c>
      <c r="AH2" s="11">
        <f>P2*L2</f>
        <v>0</v>
      </c>
      <c r="AI2" s="205"/>
      <c r="AJ2" s="206"/>
      <c r="AK2" s="3">
        <f>IFERROR(VLOOKUP(AI2,SEMANAS!$B$1:$D$301,2,0),0)</f>
        <v>0</v>
      </c>
      <c r="AL2" s="3">
        <f>IFERROR(VLOOKUP(AJ2,SEMANAS!$B$1:$D$301,2,0),0)</f>
        <v>0</v>
      </c>
      <c r="AM2" s="3">
        <f>IF(AL2&lt;0,L2,0)</f>
        <v>0</v>
      </c>
      <c r="AN2" s="3"/>
      <c r="AO2" s="3"/>
      <c r="AP2" s="206"/>
      <c r="AQ2" s="3"/>
    </row>
    <row r="3" spans="1:43" x14ac:dyDescent="0.25">
      <c r="A3" s="20" t="s">
        <v>22</v>
      </c>
      <c r="B3" s="20" t="s">
        <v>23</v>
      </c>
      <c r="C3" s="20"/>
      <c r="D3" s="20" t="str">
        <f t="shared" si="0"/>
        <v>FUND</v>
      </c>
      <c r="E3" s="20"/>
      <c r="F3" s="20"/>
      <c r="G3" s="65">
        <v>30</v>
      </c>
      <c r="H3" s="18">
        <v>44424</v>
      </c>
      <c r="I3" s="18">
        <v>44463</v>
      </c>
      <c r="J3" s="17"/>
      <c r="K3" s="17"/>
      <c r="L3" s="196"/>
      <c r="M3" s="21">
        <v>0</v>
      </c>
      <c r="N3" s="20"/>
      <c r="O3" s="20"/>
      <c r="P3" s="194">
        <v>0</v>
      </c>
      <c r="Q3" s="19"/>
      <c r="R3" s="19"/>
      <c r="S3" s="19"/>
      <c r="T3" s="19"/>
      <c r="U3" s="19"/>
      <c r="V3" s="225"/>
      <c r="W3" s="19"/>
      <c r="X3" s="214">
        <f t="shared" ref="X3:X66" si="1">L3/$L$126</f>
        <v>0</v>
      </c>
      <c r="Y3" s="6"/>
      <c r="Z3" s="6"/>
      <c r="AA3" s="6">
        <f>IFERROR(VLOOKUP(H3,SEMANAS!$B$1:$D$301,2,0),0)</f>
        <v>1</v>
      </c>
      <c r="AB3" s="6">
        <f>IFERROR(VLOOKUP(I3,SEMANAS!$B$1:$D$301,2,0),0)</f>
        <v>6</v>
      </c>
      <c r="AC3" s="16">
        <f t="shared" ref="AC3:AC66" si="2">Z3*L3</f>
        <v>0</v>
      </c>
      <c r="AD3" s="10">
        <f>K3-J3</f>
        <v>0</v>
      </c>
      <c r="AE3" s="10"/>
      <c r="AF3" s="10">
        <f>IFERROR(VLOOKUP(J3,SEMANAS!$B$1:$D$301,2,0),0)</f>
        <v>0</v>
      </c>
      <c r="AG3" s="10">
        <f>IFERROR(VLOOKUP(K3,SEMANAS!$B$1:$D$301,2,0),0)</f>
        <v>0</v>
      </c>
      <c r="AH3" s="11">
        <f t="shared" ref="AH3:AH66" si="3">P3*L3</f>
        <v>0</v>
      </c>
      <c r="AI3" s="205"/>
      <c r="AJ3" s="206"/>
      <c r="AK3" s="3">
        <f>IFERROR(VLOOKUP(AI3,SEMANAS!$B$1:$D$301,2,0),0)</f>
        <v>0</v>
      </c>
      <c r="AL3" s="3">
        <f>IFERROR(VLOOKUP(AJ3,SEMANAS!$B$1:$D$301,2,0),0)</f>
        <v>0</v>
      </c>
      <c r="AM3" s="3">
        <f t="shared" ref="AM3:AM55" si="4">IF(AL3&lt;0,L3,0)</f>
        <v>0</v>
      </c>
      <c r="AN3" s="3"/>
      <c r="AO3" s="3"/>
      <c r="AP3" s="206"/>
      <c r="AQ3" s="3"/>
    </row>
    <row r="4" spans="1:43" x14ac:dyDescent="0.25">
      <c r="A4" s="20" t="s">
        <v>24</v>
      </c>
      <c r="B4" s="20" t="s">
        <v>25</v>
      </c>
      <c r="C4" s="20" t="s">
        <v>387</v>
      </c>
      <c r="D4" s="20" t="str">
        <f t="shared" si="0"/>
        <v>Locação e GabaritoFUND</v>
      </c>
      <c r="E4" s="20" t="s">
        <v>26</v>
      </c>
      <c r="F4" s="20" t="s">
        <v>27</v>
      </c>
      <c r="G4" s="65">
        <v>5</v>
      </c>
      <c r="H4" s="18">
        <v>44424</v>
      </c>
      <c r="I4" s="18">
        <v>44428</v>
      </c>
      <c r="J4" s="17">
        <v>44424</v>
      </c>
      <c r="K4" s="17">
        <v>44428</v>
      </c>
      <c r="L4" s="196">
        <v>2720.55</v>
      </c>
      <c r="M4" s="21">
        <v>0</v>
      </c>
      <c r="N4" s="20"/>
      <c r="O4" s="20"/>
      <c r="P4" s="194">
        <v>1</v>
      </c>
      <c r="Q4" s="19">
        <v>0</v>
      </c>
      <c r="R4" s="19" t="s">
        <v>23</v>
      </c>
      <c r="S4" s="19" t="s">
        <v>28</v>
      </c>
      <c r="T4" s="19">
        <v>0</v>
      </c>
      <c r="U4" s="19">
        <v>0</v>
      </c>
      <c r="V4" s="225">
        <v>74.739999999999995</v>
      </c>
      <c r="W4" s="19" t="s">
        <v>29</v>
      </c>
      <c r="X4" s="214">
        <f t="shared" si="1"/>
        <v>1.7727530793745002E-3</v>
      </c>
      <c r="Y4" s="7"/>
      <c r="Z4" s="7">
        <v>1</v>
      </c>
      <c r="AA4" s="6">
        <f>IFERROR(VLOOKUP(H4,SEMANAS!$B$1:$D$301,2,0),0)</f>
        <v>1</v>
      </c>
      <c r="AB4" s="6">
        <f>IFERROR(VLOOKUP(I4,SEMANAS!$B$1:$D$301,2,0),0)</f>
        <v>1</v>
      </c>
      <c r="AC4" s="16">
        <f>Z4*L4</f>
        <v>2720.55</v>
      </c>
      <c r="AD4" s="10">
        <f>K4-J4+1</f>
        <v>5</v>
      </c>
      <c r="AE4" s="10"/>
      <c r="AF4" s="10">
        <f>IFERROR(VLOOKUP(J4,SEMANAS!$B$1:$D$301,2,0),0)</f>
        <v>1</v>
      </c>
      <c r="AG4" s="10">
        <f>IFERROR(VLOOKUP(K4,SEMANAS!$B$1:$D$301,2,0),0)</f>
        <v>1</v>
      </c>
      <c r="AH4" s="11">
        <f t="shared" si="3"/>
        <v>2720.55</v>
      </c>
      <c r="AI4" s="206" t="str">
        <f>IF(P4&gt;0,"executado",VLOOKUP(D4,'REPLAN - Agilean'!$A$6:$C$127,2,0))</f>
        <v>executado</v>
      </c>
      <c r="AJ4" s="206" t="str">
        <f>IF(P4=1,"executado",VLOOKUP(D4,'REPLAN - Agilean'!$A$6:$C$127,3,0))</f>
        <v>executado</v>
      </c>
      <c r="AK4" s="3">
        <f>IFERROR(VLOOKUP(AI4,SEMANAS!$B$1:$D$301,2,0),0)</f>
        <v>0</v>
      </c>
      <c r="AL4" s="3">
        <f>IFERROR(VLOOKUP(AJ4,SEMANAS!$B$1:$D$301,2,0),0)</f>
        <v>0</v>
      </c>
      <c r="AM4" s="220">
        <f>IF(AL4&lt;=0,0,L4)</f>
        <v>0</v>
      </c>
      <c r="AN4" s="218">
        <f>IFERROR(VLOOKUP(D4,#REF!,6,0),0)</f>
        <v>0</v>
      </c>
      <c r="AO4" s="218">
        <f>IFERROR(VLOOKUP(D4,#REF!,7,0),0)</f>
        <v>0</v>
      </c>
      <c r="AP4" s="206" t="str">
        <f>IF(AI4="executado","desembolsado",AI4-15)</f>
        <v>desembolsado</v>
      </c>
      <c r="AQ4" s="206" t="str">
        <f>IF(AJ4="executado","desembolsado",AI4+15)</f>
        <v>desembolsado</v>
      </c>
    </row>
    <row r="5" spans="1:43" x14ac:dyDescent="0.25">
      <c r="A5" s="20" t="s">
        <v>30</v>
      </c>
      <c r="B5" s="20" t="s">
        <v>31</v>
      </c>
      <c r="C5" s="20" t="s">
        <v>388</v>
      </c>
      <c r="D5" s="20" t="str">
        <f t="shared" si="0"/>
        <v>EstacasFUND</v>
      </c>
      <c r="E5" s="20" t="s">
        <v>26</v>
      </c>
      <c r="F5" s="20" t="s">
        <v>27</v>
      </c>
      <c r="G5" s="65">
        <v>10</v>
      </c>
      <c r="H5" s="18">
        <v>44431</v>
      </c>
      <c r="I5" s="18">
        <v>44442</v>
      </c>
      <c r="J5" s="17">
        <v>44431</v>
      </c>
      <c r="K5" s="17">
        <v>44449</v>
      </c>
      <c r="L5" s="196">
        <v>34356.19</v>
      </c>
      <c r="M5" s="21">
        <v>0</v>
      </c>
      <c r="N5" s="20"/>
      <c r="O5" s="20"/>
      <c r="P5" s="194">
        <v>1</v>
      </c>
      <c r="Q5" s="19" t="s">
        <v>32</v>
      </c>
      <c r="R5" s="19" t="s">
        <v>23</v>
      </c>
      <c r="S5" s="19" t="s">
        <v>33</v>
      </c>
      <c r="T5" s="19" t="s">
        <v>32</v>
      </c>
      <c r="U5" s="19" t="s">
        <v>34</v>
      </c>
      <c r="V5" s="225">
        <v>14.82</v>
      </c>
      <c r="W5" s="19" t="s">
        <v>35</v>
      </c>
      <c r="X5" s="214">
        <f t="shared" si="1"/>
        <v>2.2387032628724123E-2</v>
      </c>
      <c r="Y5" s="7"/>
      <c r="Z5" s="7">
        <v>1</v>
      </c>
      <c r="AA5" s="6">
        <f>IFERROR(VLOOKUP(H5,SEMANAS!$B$1:$D$301,2,0),0)</f>
        <v>2</v>
      </c>
      <c r="AB5" s="6">
        <f>IFERROR(VLOOKUP(I5,SEMANAS!$B$1:$D$301,2,0),0)</f>
        <v>3</v>
      </c>
      <c r="AC5" s="16">
        <f t="shared" si="2"/>
        <v>34356.19</v>
      </c>
      <c r="AD5" s="10">
        <v>15</v>
      </c>
      <c r="AE5" s="10"/>
      <c r="AF5" s="10">
        <f>IFERROR(VLOOKUP(J5,SEMANAS!$B$1:$D$301,2,0),0)</f>
        <v>2</v>
      </c>
      <c r="AG5" s="10">
        <f>IFERROR(VLOOKUP(K5,SEMANAS!$B$1:$D$301,2,0),0)</f>
        <v>4</v>
      </c>
      <c r="AH5" s="11">
        <f t="shared" si="3"/>
        <v>34356.19</v>
      </c>
      <c r="AI5" s="206" t="str">
        <f>IF(P5&gt;0,"executado",VLOOKUP(D5,'REPLAN - Agilean'!$A$6:$C$127,2,0))</f>
        <v>executado</v>
      </c>
      <c r="AJ5" s="206" t="str">
        <f>IF(P5=1,"executado",VLOOKUP(D5,'REPLAN - Agilean'!$A$6:$C$127,3,0))</f>
        <v>executado</v>
      </c>
      <c r="AK5" s="3">
        <f>IFERROR(VLOOKUP(AI5,SEMANAS!$B$1:$D$301,2,0),0)</f>
        <v>0</v>
      </c>
      <c r="AL5" s="3">
        <f>IFERROR(VLOOKUP(AJ5,SEMANAS!$B$1:$D$301,2,0),0)</f>
        <v>0</v>
      </c>
      <c r="AM5" s="220">
        <f t="shared" ref="AM5:AM8" si="5">IF(AL5&lt;=0,0,L5)</f>
        <v>0</v>
      </c>
      <c r="AN5" s="218">
        <f>IFERROR(VLOOKUP(D5,#REF!,6,0),0)</f>
        <v>0</v>
      </c>
      <c r="AO5" s="218">
        <f>IFERROR(VLOOKUP(D5,#REF!,7,0),0)</f>
        <v>0</v>
      </c>
      <c r="AP5" s="206" t="str">
        <f t="shared" ref="AP5:AP8" si="6">IF(AI5="executado","desembolsado",AI5-15)</f>
        <v>desembolsado</v>
      </c>
      <c r="AQ5" s="206" t="str">
        <f t="shared" ref="AQ5:AQ8" si="7">IF(AJ5="executado","desembolsado",AI5+15)</f>
        <v>desembolsado</v>
      </c>
    </row>
    <row r="6" spans="1:43" x14ac:dyDescent="0.25">
      <c r="A6" s="20" t="s">
        <v>36</v>
      </c>
      <c r="B6" s="20" t="s">
        <v>37</v>
      </c>
      <c r="C6" s="20" t="s">
        <v>389</v>
      </c>
      <c r="D6" s="20" t="str">
        <f t="shared" si="0"/>
        <v>Vigas BaldramesFUND</v>
      </c>
      <c r="E6" s="20" t="s">
        <v>26</v>
      </c>
      <c r="F6" s="20" t="s">
        <v>27</v>
      </c>
      <c r="G6" s="65">
        <v>5</v>
      </c>
      <c r="H6" s="18">
        <v>44445</v>
      </c>
      <c r="I6" s="18">
        <v>44449</v>
      </c>
      <c r="J6" s="17">
        <v>44452</v>
      </c>
      <c r="K6" s="17">
        <v>44456</v>
      </c>
      <c r="L6" s="196">
        <v>70046.69</v>
      </c>
      <c r="M6" s="21">
        <v>0</v>
      </c>
      <c r="N6" s="20"/>
      <c r="O6" s="20"/>
      <c r="P6" s="194">
        <v>1</v>
      </c>
      <c r="Q6" s="19" t="s">
        <v>38</v>
      </c>
      <c r="R6" s="19" t="s">
        <v>23</v>
      </c>
      <c r="S6" s="19" t="s">
        <v>39</v>
      </c>
      <c r="T6" s="19" t="s">
        <v>38</v>
      </c>
      <c r="U6" s="19" t="s">
        <v>34</v>
      </c>
      <c r="V6" s="225">
        <v>18.11</v>
      </c>
      <c r="W6" s="19" t="s">
        <v>35</v>
      </c>
      <c r="X6" s="214">
        <f t="shared" si="1"/>
        <v>4.5643522595611552E-2</v>
      </c>
      <c r="Y6" s="7"/>
      <c r="Z6" s="7">
        <v>1</v>
      </c>
      <c r="AA6" s="6">
        <f>IFERROR(VLOOKUP(H6,SEMANAS!$B$1:$D$301,2,0),0)</f>
        <v>4</v>
      </c>
      <c r="AB6" s="6">
        <f>IFERROR(VLOOKUP(I6,SEMANAS!$B$1:$D$301,2,0),0)</f>
        <v>4</v>
      </c>
      <c r="AC6" s="16">
        <f t="shared" si="2"/>
        <v>70046.69</v>
      </c>
      <c r="AD6" s="10">
        <f>K6-J6+1</f>
        <v>5</v>
      </c>
      <c r="AE6" s="10"/>
      <c r="AF6" s="10">
        <f>IFERROR(VLOOKUP(J6,SEMANAS!$B$1:$D$301,2,0),0)</f>
        <v>5</v>
      </c>
      <c r="AG6" s="10">
        <f>IFERROR(VLOOKUP(K6,SEMANAS!$B$1:$D$301,2,0),0)</f>
        <v>5</v>
      </c>
      <c r="AH6" s="11">
        <f t="shared" si="3"/>
        <v>70046.69</v>
      </c>
      <c r="AI6" s="206" t="str">
        <f>IF(P6&gt;0,"executado",VLOOKUP(D6,'REPLAN - Agilean'!$A$6:$C$127,2,0))</f>
        <v>executado</v>
      </c>
      <c r="AJ6" s="206" t="str">
        <f>IF(P6=1,"executado",VLOOKUP(D6,'REPLAN - Agilean'!$A$6:$C$127,3,0))</f>
        <v>executado</v>
      </c>
      <c r="AK6" s="3">
        <f>IFERROR(VLOOKUP(AI6,SEMANAS!$B$1:$D$301,2,0),0)</f>
        <v>0</v>
      </c>
      <c r="AL6" s="3">
        <f>IFERROR(VLOOKUP(AJ6,SEMANAS!$B$1:$D$301,2,0),0)</f>
        <v>0</v>
      </c>
      <c r="AM6" s="220">
        <f t="shared" si="5"/>
        <v>0</v>
      </c>
      <c r="AN6" s="218">
        <f>IFERROR(VLOOKUP(D6,#REF!,6,0),0)</f>
        <v>0</v>
      </c>
      <c r="AO6" s="218">
        <f>IFERROR(VLOOKUP(D6,#REF!,7,0),0)</f>
        <v>0</v>
      </c>
      <c r="AP6" s="206" t="str">
        <f t="shared" si="6"/>
        <v>desembolsado</v>
      </c>
      <c r="AQ6" s="206" t="str">
        <f t="shared" si="7"/>
        <v>desembolsado</v>
      </c>
    </row>
    <row r="7" spans="1:43" x14ac:dyDescent="0.25">
      <c r="A7" s="20" t="s">
        <v>40</v>
      </c>
      <c r="B7" s="20" t="s">
        <v>41</v>
      </c>
      <c r="C7" s="20" t="s">
        <v>390</v>
      </c>
      <c r="D7" s="20" t="str">
        <f t="shared" si="0"/>
        <v>Instalações EnterradasFUND</v>
      </c>
      <c r="E7" s="20" t="s">
        <v>26</v>
      </c>
      <c r="F7" s="20" t="s">
        <v>27</v>
      </c>
      <c r="G7" s="65">
        <v>5</v>
      </c>
      <c r="H7" s="18">
        <v>44452</v>
      </c>
      <c r="I7" s="18">
        <v>44456</v>
      </c>
      <c r="J7" s="17">
        <v>44459</v>
      </c>
      <c r="K7" s="17">
        <v>44461</v>
      </c>
      <c r="L7" s="196">
        <v>350</v>
      </c>
      <c r="M7" s="21">
        <v>0</v>
      </c>
      <c r="N7" s="20"/>
      <c r="O7" s="20"/>
      <c r="P7" s="194">
        <v>1</v>
      </c>
      <c r="Q7" s="19" t="s">
        <v>42</v>
      </c>
      <c r="R7" s="19" t="s">
        <v>23</v>
      </c>
      <c r="S7" s="19" t="s">
        <v>43</v>
      </c>
      <c r="T7" s="19" t="s">
        <v>42</v>
      </c>
      <c r="U7" s="19" t="s">
        <v>34</v>
      </c>
      <c r="V7" s="225">
        <v>1</v>
      </c>
      <c r="W7" s="19" t="s">
        <v>44</v>
      </c>
      <c r="X7" s="214">
        <f t="shared" si="1"/>
        <v>2.2806549329403063E-4</v>
      </c>
      <c r="Y7" s="7"/>
      <c r="Z7" s="7">
        <v>1</v>
      </c>
      <c r="AA7" s="6">
        <f>IFERROR(VLOOKUP(H7,SEMANAS!$B$1:$D$301,2,0),0)</f>
        <v>5</v>
      </c>
      <c r="AB7" s="6">
        <f>IFERROR(VLOOKUP(I7,SEMANAS!$B$1:$D$301,2,0),0)</f>
        <v>5</v>
      </c>
      <c r="AC7" s="16">
        <f t="shared" si="2"/>
        <v>350</v>
      </c>
      <c r="AD7" s="10">
        <f>K7-J7+1</f>
        <v>3</v>
      </c>
      <c r="AE7" s="10"/>
      <c r="AF7" s="10">
        <f>IFERROR(VLOOKUP(J7,SEMANAS!$B$1:$D$301,2,0),0)</f>
        <v>6</v>
      </c>
      <c r="AG7" s="10">
        <f>IFERROR(VLOOKUP(K7,SEMANAS!$B$1:$D$301,2,0),0)</f>
        <v>6</v>
      </c>
      <c r="AH7" s="11">
        <f t="shared" si="3"/>
        <v>350</v>
      </c>
      <c r="AI7" s="206" t="str">
        <f>IF(P7&gt;0,"executado",VLOOKUP(D7,'REPLAN - Agilean'!$A$6:$C$127,2,0))</f>
        <v>executado</v>
      </c>
      <c r="AJ7" s="206" t="str">
        <f>IF(P7=1,"executado",VLOOKUP(D7,'REPLAN - Agilean'!$A$6:$C$127,3,0))</f>
        <v>executado</v>
      </c>
      <c r="AK7" s="3">
        <f>IFERROR(VLOOKUP(AI7,SEMANAS!$B$1:$D$301,2,0),0)</f>
        <v>0</v>
      </c>
      <c r="AL7" s="3">
        <f>IFERROR(VLOOKUP(AJ7,SEMANAS!$B$1:$D$301,2,0),0)</f>
        <v>0</v>
      </c>
      <c r="AM7" s="220">
        <f t="shared" si="5"/>
        <v>0</v>
      </c>
      <c r="AN7" s="218">
        <f>IFERROR(VLOOKUP(D7,#REF!,6,0),0)</f>
        <v>0</v>
      </c>
      <c r="AO7" s="218">
        <f>IFERROR(VLOOKUP(D7,#REF!,7,0),0)</f>
        <v>0</v>
      </c>
      <c r="AP7" s="206" t="str">
        <f t="shared" si="6"/>
        <v>desembolsado</v>
      </c>
      <c r="AQ7" s="206" t="str">
        <f t="shared" si="7"/>
        <v>desembolsado</v>
      </c>
    </row>
    <row r="8" spans="1:43" x14ac:dyDescent="0.25">
      <c r="A8" s="20" t="s">
        <v>45</v>
      </c>
      <c r="B8" s="20" t="s">
        <v>46</v>
      </c>
      <c r="C8" s="20" t="s">
        <v>391</v>
      </c>
      <c r="D8" s="20" t="str">
        <f t="shared" si="0"/>
        <v>ContrapisoFUND</v>
      </c>
      <c r="E8" s="20" t="s">
        <v>26</v>
      </c>
      <c r="F8" s="20" t="s">
        <v>27</v>
      </c>
      <c r="G8" s="65">
        <v>5</v>
      </c>
      <c r="H8" s="18">
        <v>44459</v>
      </c>
      <c r="I8" s="18">
        <v>44463</v>
      </c>
      <c r="J8" s="17">
        <v>44461</v>
      </c>
      <c r="K8" s="17">
        <v>44463</v>
      </c>
      <c r="L8" s="196">
        <v>34912.21</v>
      </c>
      <c r="M8" s="21">
        <v>0</v>
      </c>
      <c r="N8" s="20"/>
      <c r="O8" s="20"/>
      <c r="P8" s="194">
        <v>1</v>
      </c>
      <c r="Q8" s="19" t="s">
        <v>47</v>
      </c>
      <c r="R8" s="19" t="s">
        <v>23</v>
      </c>
      <c r="S8" s="19" t="s">
        <v>48</v>
      </c>
      <c r="T8" s="19" t="s">
        <v>47</v>
      </c>
      <c r="U8" s="19" t="s">
        <v>34</v>
      </c>
      <c r="V8" s="225">
        <v>224.41</v>
      </c>
      <c r="W8" s="19" t="s">
        <v>29</v>
      </c>
      <c r="X8" s="214">
        <f t="shared" si="1"/>
        <v>2.2749343987527967E-2</v>
      </c>
      <c r="Y8" s="7"/>
      <c r="Z8" s="7">
        <v>1</v>
      </c>
      <c r="AA8" s="6">
        <f>IFERROR(VLOOKUP(H8,SEMANAS!$B$1:$D$301,2,0),0)</f>
        <v>6</v>
      </c>
      <c r="AB8" s="6">
        <f>IFERROR(VLOOKUP(I8,SEMANAS!$B$1:$D$301,2,0),0)</f>
        <v>6</v>
      </c>
      <c r="AC8" s="16">
        <f t="shared" si="2"/>
        <v>34912.21</v>
      </c>
      <c r="AD8" s="10">
        <f>K8-J8+1</f>
        <v>3</v>
      </c>
      <c r="AE8" s="10"/>
      <c r="AF8" s="10">
        <f>IFERROR(VLOOKUP(J8,SEMANAS!$B$1:$D$301,2,0),0)</f>
        <v>6</v>
      </c>
      <c r="AG8" s="10">
        <f>IFERROR(VLOOKUP(K8,SEMANAS!$B$1:$D$301,2,0),0)</f>
        <v>6</v>
      </c>
      <c r="AH8" s="11">
        <f t="shared" si="3"/>
        <v>34912.21</v>
      </c>
      <c r="AI8" s="206" t="str">
        <f>IF(P8&gt;0,"executado",VLOOKUP(D8,'REPLAN - Agilean'!$A$6:$C$127,2,0))</f>
        <v>executado</v>
      </c>
      <c r="AJ8" s="206" t="str">
        <f>IF(P8=1,"executado",VLOOKUP(D8,'REPLAN - Agilean'!$A$6:$C$127,3,0))</f>
        <v>executado</v>
      </c>
      <c r="AK8" s="3">
        <f>IFERROR(VLOOKUP(AI8,SEMANAS!$B$1:$D$301,2,0),0)</f>
        <v>0</v>
      </c>
      <c r="AL8" s="3">
        <f>IFERROR(VLOOKUP(AJ8,SEMANAS!$B$1:$D$301,2,0),0)</f>
        <v>0</v>
      </c>
      <c r="AM8" s="220">
        <f t="shared" si="5"/>
        <v>0</v>
      </c>
      <c r="AN8" s="218">
        <f>IFERROR(VLOOKUP(D8,#REF!,6,0),0)</f>
        <v>0</v>
      </c>
      <c r="AO8" s="218">
        <f>IFERROR(VLOOKUP(D8,#REF!,7,0),0)</f>
        <v>0</v>
      </c>
      <c r="AP8" s="206" t="str">
        <f t="shared" si="6"/>
        <v>desembolsado</v>
      </c>
      <c r="AQ8" s="206" t="str">
        <f t="shared" si="7"/>
        <v>desembolsado</v>
      </c>
    </row>
    <row r="9" spans="1:43" x14ac:dyDescent="0.25">
      <c r="A9" s="20" t="s">
        <v>49</v>
      </c>
      <c r="B9" s="20" t="s">
        <v>50</v>
      </c>
      <c r="C9" s="20"/>
      <c r="D9" s="20" t="str">
        <f t="shared" si="0"/>
        <v>PAV1</v>
      </c>
      <c r="E9" s="20"/>
      <c r="F9" s="20"/>
      <c r="G9" s="65">
        <v>147</v>
      </c>
      <c r="H9" s="18">
        <v>44466</v>
      </c>
      <c r="I9" s="18">
        <v>44671</v>
      </c>
      <c r="J9" s="17"/>
      <c r="K9" s="17"/>
      <c r="L9" s="196"/>
      <c r="M9" s="21">
        <v>0</v>
      </c>
      <c r="N9" s="20"/>
      <c r="O9" s="20"/>
      <c r="P9" s="194">
        <v>0</v>
      </c>
      <c r="Q9" s="19"/>
      <c r="R9" s="19"/>
      <c r="S9" s="19" t="s">
        <v>51</v>
      </c>
      <c r="T9" s="19">
        <v>0</v>
      </c>
      <c r="U9" s="19">
        <v>0</v>
      </c>
      <c r="V9" s="225"/>
      <c r="W9" s="19"/>
      <c r="X9" s="214">
        <f t="shared" si="1"/>
        <v>0</v>
      </c>
      <c r="Y9" s="6"/>
      <c r="Z9" s="6"/>
      <c r="AA9" s="6">
        <f>IFERROR(VLOOKUP(H9,SEMANAS!$B$1:$D$301,2,0),0)</f>
        <v>7</v>
      </c>
      <c r="AB9" s="6">
        <f>IFERROR(VLOOKUP(I9,SEMANAS!$B$1:$D$301,2,0),0)</f>
        <v>36</v>
      </c>
      <c r="AC9" s="16">
        <f t="shared" si="2"/>
        <v>0</v>
      </c>
      <c r="AD9" s="10">
        <f>K9-J9</f>
        <v>0</v>
      </c>
      <c r="AE9" s="10"/>
      <c r="AF9" s="10">
        <f>IFERROR(VLOOKUP(J9,SEMANAS!$B$1:$D$301,2,0),0)</f>
        <v>0</v>
      </c>
      <c r="AG9" s="10">
        <f>IFERROR(VLOOKUP(K9,SEMANAS!$B$1:$D$301,2,0),0)</f>
        <v>0</v>
      </c>
      <c r="AH9" s="11">
        <f t="shared" si="3"/>
        <v>0</v>
      </c>
      <c r="AI9" s="206">
        <f>IF(P9&gt;0,"executado",VLOOKUP(D9,'REPLAN - Agilean'!$A$6:$C$127,2,0))</f>
        <v>44466</v>
      </c>
      <c r="AJ9" s="206">
        <f>IF(P9=1,"executado",VLOOKUP(D9,'REPLAN - Agilean'!$A$6:$C$127,3,0))</f>
        <v>44658</v>
      </c>
      <c r="AK9" s="3">
        <f>IFERROR(VLOOKUP(AI9,SEMANAS!$B$1:$D$301,2,0),0)</f>
        <v>7</v>
      </c>
      <c r="AL9" s="3">
        <f>IFERROR(VLOOKUP(AJ9,SEMANAS!$B$1:$D$301,2,0),0)</f>
        <v>34</v>
      </c>
      <c r="AM9" s="3">
        <f t="shared" si="4"/>
        <v>0</v>
      </c>
      <c r="AN9" s="3">
        <f>IFERROR(VLOOKUP(D9,#REF!,6,0),0)</f>
        <v>0</v>
      </c>
      <c r="AO9" s="3"/>
      <c r="AP9" s="3"/>
      <c r="AQ9" s="3"/>
    </row>
    <row r="10" spans="1:43" x14ac:dyDescent="0.25">
      <c r="A10" s="20" t="s">
        <v>52</v>
      </c>
      <c r="B10" s="20" t="s">
        <v>53</v>
      </c>
      <c r="C10" s="20" t="s">
        <v>392</v>
      </c>
      <c r="D10" s="20" t="str">
        <f t="shared" si="0"/>
        <v>Alvenaria EstruturalPAV1</v>
      </c>
      <c r="E10" s="20" t="s">
        <v>26</v>
      </c>
      <c r="F10" s="20" t="s">
        <v>54</v>
      </c>
      <c r="G10" s="65">
        <v>5</v>
      </c>
      <c r="H10" s="18">
        <v>44466</v>
      </c>
      <c r="I10" s="18">
        <v>44470</v>
      </c>
      <c r="J10" s="17">
        <v>44466</v>
      </c>
      <c r="K10" s="17">
        <v>44477</v>
      </c>
      <c r="L10" s="196">
        <v>96573.61</v>
      </c>
      <c r="M10" s="21">
        <v>0</v>
      </c>
      <c r="N10" s="20"/>
      <c r="O10" s="20"/>
      <c r="P10" s="194">
        <v>1</v>
      </c>
      <c r="Q10" s="19" t="s">
        <v>55</v>
      </c>
      <c r="R10" s="19" t="s">
        <v>50</v>
      </c>
      <c r="S10" s="19" t="s">
        <v>56</v>
      </c>
      <c r="T10" s="19" t="s">
        <v>55</v>
      </c>
      <c r="U10" s="19" t="s">
        <v>34</v>
      </c>
      <c r="V10" s="225">
        <v>389.58</v>
      </c>
      <c r="W10" s="19" t="s">
        <v>29</v>
      </c>
      <c r="X10" s="214">
        <f t="shared" si="1"/>
        <v>6.2928880010958088E-2</v>
      </c>
      <c r="Y10" s="7"/>
      <c r="Z10" s="7">
        <v>1</v>
      </c>
      <c r="AA10" s="6">
        <f>IFERROR(VLOOKUP(H10,SEMANAS!$B$1:$D$301,2,0),0)</f>
        <v>7</v>
      </c>
      <c r="AB10" s="6">
        <f>IFERROR(VLOOKUP(I10,SEMANAS!$B$1:$D$301,2,0),0)</f>
        <v>7</v>
      </c>
      <c r="AC10" s="16">
        <f t="shared" si="2"/>
        <v>96573.61</v>
      </c>
      <c r="AD10" s="10">
        <v>10</v>
      </c>
      <c r="AE10" s="10"/>
      <c r="AF10" s="10">
        <f>IFERROR(VLOOKUP(J10,SEMANAS!$B$1:$D$301,2,0),0)</f>
        <v>7</v>
      </c>
      <c r="AG10" s="10">
        <f>IFERROR(VLOOKUP(K10,SEMANAS!$B$1:$D$301,2,0),0)</f>
        <v>8</v>
      </c>
      <c r="AH10" s="11">
        <f t="shared" si="3"/>
        <v>96573.61</v>
      </c>
      <c r="AI10" s="206" t="str">
        <f>IF(P10&gt;0,"executado",VLOOKUP(D10,'REPLAN - Agilean'!$A$6:$C$127,2,0))</f>
        <v>executado</v>
      </c>
      <c r="AJ10" s="206" t="str">
        <f>IF(P10=1,"executado",VLOOKUP(D10,'REPLAN - Agilean'!$A$6:$C$127,3,0))</f>
        <v>executado</v>
      </c>
      <c r="AK10" s="3">
        <f>IFERROR(VLOOKUP(AI10,SEMANAS!$B$1:$D$301,2,0),0)</f>
        <v>0</v>
      </c>
      <c r="AL10" s="3">
        <f>IFERROR(VLOOKUP(AJ10,SEMANAS!$B$1:$D$301,2,0),0)</f>
        <v>0</v>
      </c>
      <c r="AM10" s="220">
        <f t="shared" ref="AM10:AM31" si="8">IF(AL10&lt;=0,0,L10)</f>
        <v>0</v>
      </c>
      <c r="AN10" s="218">
        <f>IFERROR(VLOOKUP(D10,#REF!,6,0),0)</f>
        <v>0</v>
      </c>
      <c r="AO10" s="218">
        <f>IFERROR(VLOOKUP(D10,#REF!,7,0),0)</f>
        <v>0</v>
      </c>
      <c r="AP10" s="206" t="str">
        <f t="shared" ref="AP10:AP31" si="9">IF(AI10="executado","desembolsado",AI10-15)</f>
        <v>desembolsado</v>
      </c>
      <c r="AQ10" s="206" t="str">
        <f t="shared" ref="AQ10:AQ31" si="10">IF(AJ10="executado","desembolsado",AI10+15)</f>
        <v>desembolsado</v>
      </c>
    </row>
    <row r="11" spans="1:43" x14ac:dyDescent="0.25">
      <c r="A11" s="20" t="s">
        <v>57</v>
      </c>
      <c r="B11" s="20" t="s">
        <v>58</v>
      </c>
      <c r="C11" s="20" t="s">
        <v>393</v>
      </c>
      <c r="D11" s="20" t="str">
        <f t="shared" si="0"/>
        <v>Estrutura Moldado in LocoPAV1</v>
      </c>
      <c r="E11" s="20" t="s">
        <v>26</v>
      </c>
      <c r="F11" s="20" t="s">
        <v>54</v>
      </c>
      <c r="G11" s="65">
        <v>5</v>
      </c>
      <c r="H11" s="18">
        <v>44473</v>
      </c>
      <c r="I11" s="18">
        <v>44477</v>
      </c>
      <c r="J11" s="17">
        <v>44480</v>
      </c>
      <c r="K11" s="17">
        <v>44484</v>
      </c>
      <c r="L11" s="196">
        <v>64892.03</v>
      </c>
      <c r="M11" s="21">
        <v>0</v>
      </c>
      <c r="N11" s="20"/>
      <c r="O11" s="20"/>
      <c r="P11" s="194">
        <v>1</v>
      </c>
      <c r="Q11" s="19" t="s">
        <v>59</v>
      </c>
      <c r="R11" s="19" t="s">
        <v>50</v>
      </c>
      <c r="S11" s="19" t="s">
        <v>60</v>
      </c>
      <c r="T11" s="19" t="s">
        <v>59</v>
      </c>
      <c r="U11" s="19" t="s">
        <v>34</v>
      </c>
      <c r="V11" s="225">
        <v>25.44</v>
      </c>
      <c r="W11" s="19" t="s">
        <v>35</v>
      </c>
      <c r="X11" s="214">
        <f t="shared" si="1"/>
        <v>4.2284665236574384E-2</v>
      </c>
      <c r="Y11" s="7"/>
      <c r="Z11" s="7">
        <v>1</v>
      </c>
      <c r="AA11" s="6">
        <f>IFERROR(VLOOKUP(H11,SEMANAS!$B$1:$D$301,2,0),0)</f>
        <v>8</v>
      </c>
      <c r="AB11" s="6">
        <f>IFERROR(VLOOKUP(I11,SEMANAS!$B$1:$D$301,2,0),0)</f>
        <v>8</v>
      </c>
      <c r="AC11" s="16">
        <f t="shared" si="2"/>
        <v>64892.03</v>
      </c>
      <c r="AD11" s="10">
        <f>K11-J11+1</f>
        <v>5</v>
      </c>
      <c r="AE11" s="10"/>
      <c r="AF11" s="10">
        <f>IFERROR(VLOOKUP(J11,SEMANAS!$B$1:$D$301,2,0),0)</f>
        <v>9</v>
      </c>
      <c r="AG11" s="10">
        <f>IFERROR(VLOOKUP(K11,SEMANAS!$B$1:$D$301,2,0),0)</f>
        <v>9</v>
      </c>
      <c r="AH11" s="11">
        <f t="shared" si="3"/>
        <v>64892.03</v>
      </c>
      <c r="AI11" s="206" t="str">
        <f>IF(P11&gt;0,"executado",VLOOKUP(D11,'REPLAN - Agilean'!$A$6:$C$127,2,0))</f>
        <v>executado</v>
      </c>
      <c r="AJ11" s="206" t="str">
        <f>IF(P11=1,"executado",VLOOKUP(D11,'REPLAN - Agilean'!$A$6:$C$127,3,0))</f>
        <v>executado</v>
      </c>
      <c r="AK11" s="3">
        <f>IFERROR(VLOOKUP(AI11,SEMANAS!$B$1:$D$301,2,0),0)</f>
        <v>0</v>
      </c>
      <c r="AL11" s="3">
        <f>IFERROR(VLOOKUP(AJ11,SEMANAS!$B$1:$D$301,2,0),0)</f>
        <v>0</v>
      </c>
      <c r="AM11" s="220">
        <f t="shared" si="8"/>
        <v>0</v>
      </c>
      <c r="AN11" s="218">
        <f>IFERROR(VLOOKUP(D11,#REF!,6,0),0)</f>
        <v>0</v>
      </c>
      <c r="AO11" s="218">
        <f>IFERROR(VLOOKUP(D11,#REF!,7,0),0)</f>
        <v>0</v>
      </c>
      <c r="AP11" s="206" t="str">
        <f t="shared" si="9"/>
        <v>desembolsado</v>
      </c>
      <c r="AQ11" s="206" t="str">
        <f t="shared" si="10"/>
        <v>desembolsado</v>
      </c>
    </row>
    <row r="12" spans="1:43" x14ac:dyDescent="0.25">
      <c r="A12" s="20" t="s">
        <v>61</v>
      </c>
      <c r="B12" s="20" t="s">
        <v>62</v>
      </c>
      <c r="C12" s="20" t="s">
        <v>394</v>
      </c>
      <c r="D12" s="20" t="str">
        <f t="shared" si="0"/>
        <v>Instalações HidrossanitáriasPAV1</v>
      </c>
      <c r="E12" s="20" t="s">
        <v>26</v>
      </c>
      <c r="F12" s="20" t="s">
        <v>54</v>
      </c>
      <c r="G12" s="65">
        <v>5</v>
      </c>
      <c r="H12" s="18">
        <v>44501</v>
      </c>
      <c r="I12" s="18">
        <v>44505</v>
      </c>
      <c r="J12" s="17">
        <v>44537</v>
      </c>
      <c r="K12" s="17">
        <v>44542</v>
      </c>
      <c r="L12" s="196">
        <v>13455.89</v>
      </c>
      <c r="M12" s="21">
        <v>0</v>
      </c>
      <c r="N12" s="20"/>
      <c r="O12" s="20"/>
      <c r="P12" s="194">
        <v>1</v>
      </c>
      <c r="Q12" s="19" t="s">
        <v>63</v>
      </c>
      <c r="R12" s="19" t="s">
        <v>50</v>
      </c>
      <c r="S12" s="19" t="s">
        <v>64</v>
      </c>
      <c r="T12" s="19" t="s">
        <v>63</v>
      </c>
      <c r="U12" s="19" t="s">
        <v>34</v>
      </c>
      <c r="V12" s="225">
        <v>1</v>
      </c>
      <c r="W12" s="19" t="s">
        <v>65</v>
      </c>
      <c r="X12" s="214">
        <f t="shared" si="1"/>
        <v>8.7680691158863247E-3</v>
      </c>
      <c r="Y12" s="7"/>
      <c r="Z12" s="7">
        <v>1</v>
      </c>
      <c r="AA12" s="6">
        <f>IFERROR(VLOOKUP(H12,SEMANAS!$B$1:$D$301,2,0),0)</f>
        <v>12</v>
      </c>
      <c r="AB12" s="6">
        <f>IFERROR(VLOOKUP(I12,SEMANAS!$B$1:$D$301,2,0),0)</f>
        <v>12</v>
      </c>
      <c r="AC12" s="16">
        <f t="shared" si="2"/>
        <v>13455.89</v>
      </c>
      <c r="AD12" s="10">
        <f>K12-J12+1</f>
        <v>6</v>
      </c>
      <c r="AE12" s="10"/>
      <c r="AF12" s="10">
        <f>IFERROR(VLOOKUP(J12,SEMANAS!$B$1:$D$301,2,0),0)</f>
        <v>17</v>
      </c>
      <c r="AG12" s="10">
        <f>IFERROR(VLOOKUP(K12,SEMANAS!$B$1:$D$301,2,0),0)</f>
        <v>17</v>
      </c>
      <c r="AH12" s="11">
        <f t="shared" si="3"/>
        <v>13455.89</v>
      </c>
      <c r="AI12" s="206" t="str">
        <f>IF(P12&gt;0,"executado",VLOOKUP(D12,'REPLAN - Agilean'!$A$6:$C$127,2,0))</f>
        <v>executado</v>
      </c>
      <c r="AJ12" s="206" t="str">
        <f>IF(P12=1,"executado",VLOOKUP(D12,'REPLAN - Agilean'!$A$6:$C$127,3,0))</f>
        <v>executado</v>
      </c>
      <c r="AK12" s="3">
        <f>IFERROR(VLOOKUP(AI12,SEMANAS!$B$1:$D$301,2,0),0)</f>
        <v>0</v>
      </c>
      <c r="AL12" s="3">
        <f>IFERROR(VLOOKUP(AJ12,SEMANAS!$B$1:$D$301,2,0),0)</f>
        <v>0</v>
      </c>
      <c r="AM12" s="220">
        <f t="shared" si="8"/>
        <v>0</v>
      </c>
      <c r="AN12" s="218">
        <f>IFERROR(VLOOKUP(D12,#REF!,6,0),0)</f>
        <v>0</v>
      </c>
      <c r="AO12" s="218">
        <f>IFERROR(VLOOKUP(D12,#REF!,7,0),0)</f>
        <v>0</v>
      </c>
      <c r="AP12" s="206" t="str">
        <f t="shared" si="9"/>
        <v>desembolsado</v>
      </c>
      <c r="AQ12" s="206" t="str">
        <f t="shared" si="10"/>
        <v>desembolsado</v>
      </c>
    </row>
    <row r="13" spans="1:43" x14ac:dyDescent="0.25">
      <c r="A13" s="20" t="s">
        <v>66</v>
      </c>
      <c r="B13" s="20" t="s">
        <v>67</v>
      </c>
      <c r="C13" s="20" t="s">
        <v>395</v>
      </c>
      <c r="D13" s="20" t="str">
        <f t="shared" si="0"/>
        <v>Reboco InternoPAV1</v>
      </c>
      <c r="E13" s="20" t="s">
        <v>26</v>
      </c>
      <c r="F13" s="20" t="s">
        <v>54</v>
      </c>
      <c r="G13" s="65">
        <v>5</v>
      </c>
      <c r="H13" s="18">
        <v>44515</v>
      </c>
      <c r="I13" s="18">
        <v>44519</v>
      </c>
      <c r="J13" s="17">
        <v>44515</v>
      </c>
      <c r="K13" s="17">
        <v>44519</v>
      </c>
      <c r="L13" s="196">
        <v>984.14</v>
      </c>
      <c r="M13" s="21">
        <v>0</v>
      </c>
      <c r="N13" s="20"/>
      <c r="O13" s="20"/>
      <c r="P13" s="194">
        <v>1</v>
      </c>
      <c r="Q13" s="19" t="s">
        <v>68</v>
      </c>
      <c r="R13" s="19" t="s">
        <v>50</v>
      </c>
      <c r="S13" s="19" t="s">
        <v>69</v>
      </c>
      <c r="T13" s="19" t="s">
        <v>68</v>
      </c>
      <c r="U13" s="19" t="s">
        <v>34</v>
      </c>
      <c r="V13" s="225">
        <v>140.59</v>
      </c>
      <c r="W13" s="19" t="s">
        <v>29</v>
      </c>
      <c r="X13" s="214">
        <f t="shared" si="1"/>
        <v>6.4128107020110659E-4</v>
      </c>
      <c r="Y13" s="7"/>
      <c r="Z13" s="7">
        <v>1</v>
      </c>
      <c r="AA13" s="6">
        <f>IFERROR(VLOOKUP(H13,SEMANAS!$B$1:$D$301,2,0),0)</f>
        <v>14</v>
      </c>
      <c r="AB13" s="6">
        <f>IFERROR(VLOOKUP(I13,SEMANAS!$B$1:$D$301,2,0),0)</f>
        <v>14</v>
      </c>
      <c r="AC13" s="16">
        <f t="shared" si="2"/>
        <v>984.14</v>
      </c>
      <c r="AD13" s="10">
        <f>K13-J13+1</f>
        <v>5</v>
      </c>
      <c r="AE13" s="10"/>
      <c r="AF13" s="10">
        <f>IFERROR(VLOOKUP(J13,SEMANAS!$B$1:$D$301,2,0),0)</f>
        <v>14</v>
      </c>
      <c r="AG13" s="10">
        <f>IFERROR(VLOOKUP(K13,SEMANAS!$B$1:$D$301,2,0),0)</f>
        <v>14</v>
      </c>
      <c r="AH13" s="11">
        <f t="shared" si="3"/>
        <v>984.14</v>
      </c>
      <c r="AI13" s="206" t="str">
        <f>IF(P13&gt;0,"executado",VLOOKUP(D13,'REPLAN - Agilean'!$A$6:$C$127,2,0))</f>
        <v>executado</v>
      </c>
      <c r="AJ13" s="206" t="str">
        <f>IF(P13=1,"executado",VLOOKUP(D13,'REPLAN - Agilean'!$A$6:$C$127,3,0))</f>
        <v>executado</v>
      </c>
      <c r="AK13" s="3">
        <f>IFERROR(VLOOKUP(AI13,SEMANAS!$B$1:$D$301,2,0),0)</f>
        <v>0</v>
      </c>
      <c r="AL13" s="3">
        <f>IFERROR(VLOOKUP(AJ13,SEMANAS!$B$1:$D$301,2,0),0)</f>
        <v>0</v>
      </c>
      <c r="AM13" s="220">
        <f t="shared" si="8"/>
        <v>0</v>
      </c>
      <c r="AN13" s="218">
        <f>IFERROR(VLOOKUP(D13,#REF!,6,0),0)</f>
        <v>0</v>
      </c>
      <c r="AO13" s="218">
        <f>IFERROR(VLOOKUP(D13,#REF!,7,0),0)</f>
        <v>0</v>
      </c>
      <c r="AP13" s="206" t="str">
        <f t="shared" si="9"/>
        <v>desembolsado</v>
      </c>
      <c r="AQ13" s="206" t="str">
        <f t="shared" si="10"/>
        <v>desembolsado</v>
      </c>
    </row>
    <row r="14" spans="1:43" x14ac:dyDescent="0.25">
      <c r="A14" s="20" t="s">
        <v>70</v>
      </c>
      <c r="B14" s="20" t="s">
        <v>71</v>
      </c>
      <c r="C14" s="20" t="s">
        <v>396</v>
      </c>
      <c r="D14" s="20" t="str">
        <f t="shared" si="0"/>
        <v>Shaft PAV1</v>
      </c>
      <c r="E14" s="20" t="s">
        <v>26</v>
      </c>
      <c r="F14" s="20" t="s">
        <v>54</v>
      </c>
      <c r="G14" s="65">
        <v>2</v>
      </c>
      <c r="H14" s="18">
        <v>44550</v>
      </c>
      <c r="I14" s="18">
        <v>44552</v>
      </c>
      <c r="J14" s="17">
        <v>44550</v>
      </c>
      <c r="K14" s="17">
        <v>44552</v>
      </c>
      <c r="L14" s="196">
        <v>3159.37</v>
      </c>
      <c r="M14" s="21">
        <v>0</v>
      </c>
      <c r="N14" s="20"/>
      <c r="O14" s="20"/>
      <c r="P14" s="194">
        <v>1</v>
      </c>
      <c r="Q14" s="19" t="s">
        <v>72</v>
      </c>
      <c r="R14" s="19" t="s">
        <v>50</v>
      </c>
      <c r="S14" s="19" t="s">
        <v>73</v>
      </c>
      <c r="T14" s="19" t="s">
        <v>72</v>
      </c>
      <c r="U14" s="19" t="s">
        <v>34</v>
      </c>
      <c r="V14" s="225">
        <v>10.69</v>
      </c>
      <c r="W14" s="19" t="s">
        <v>29</v>
      </c>
      <c r="X14" s="214">
        <f t="shared" si="1"/>
        <v>2.0586950787096045E-3</v>
      </c>
      <c r="Y14" s="7"/>
      <c r="Z14" s="7">
        <v>1</v>
      </c>
      <c r="AA14" s="6">
        <f>IFERROR(VLOOKUP(H14,SEMANAS!$B$1:$D$301,2,0),0)</f>
        <v>19</v>
      </c>
      <c r="AB14" s="6">
        <f>IFERROR(VLOOKUP(I14,SEMANAS!$B$1:$D$301,2,0),0)</f>
        <v>19</v>
      </c>
      <c r="AC14" s="16">
        <f t="shared" si="2"/>
        <v>3159.37</v>
      </c>
      <c r="AD14" s="10">
        <f>K14-J14+1</f>
        <v>3</v>
      </c>
      <c r="AE14" s="10"/>
      <c r="AF14" s="10">
        <f>IFERROR(VLOOKUP(J14,SEMANAS!$B$1:$D$301,2,0),0)</f>
        <v>19</v>
      </c>
      <c r="AG14" s="10">
        <f>IFERROR(VLOOKUP(K14,SEMANAS!$B$1:$D$301,2,0),0)</f>
        <v>19</v>
      </c>
      <c r="AH14" s="11">
        <f t="shared" si="3"/>
        <v>3159.37</v>
      </c>
      <c r="AI14" s="206" t="str">
        <f>IF(P14&gt;0,"executado",VLOOKUP(D14,'REPLAN - Agilean'!$A$6:$C$127,2,0))</f>
        <v>executado</v>
      </c>
      <c r="AJ14" s="206" t="str">
        <f>IF(P14=1,"executado",VLOOKUP(D14,'REPLAN - Agilean'!$A$6:$C$127,3,0))</f>
        <v>executado</v>
      </c>
      <c r="AK14" s="3">
        <f>IFERROR(VLOOKUP(AI14,SEMANAS!$B$1:$D$301,2,0),0)</f>
        <v>0</v>
      </c>
      <c r="AL14" s="3">
        <f>IFERROR(VLOOKUP(AJ14,SEMANAS!$B$1:$D$301,2,0),0)</f>
        <v>0</v>
      </c>
      <c r="AM14" s="220">
        <f t="shared" si="8"/>
        <v>0</v>
      </c>
      <c r="AN14" s="218">
        <f>IFERROR(VLOOKUP(D14,#REF!,6,0),0)</f>
        <v>0</v>
      </c>
      <c r="AO14" s="218">
        <f>IFERROR(VLOOKUP(D14,#REF!,7,0),0)</f>
        <v>0</v>
      </c>
      <c r="AP14" s="206" t="str">
        <f t="shared" si="9"/>
        <v>desembolsado</v>
      </c>
      <c r="AQ14" s="206" t="str">
        <f t="shared" si="10"/>
        <v>desembolsado</v>
      </c>
    </row>
    <row r="15" spans="1:43" x14ac:dyDescent="0.25">
      <c r="A15" s="20" t="s">
        <v>74</v>
      </c>
      <c r="B15" s="20" t="s">
        <v>75</v>
      </c>
      <c r="C15" s="20" t="s">
        <v>397</v>
      </c>
      <c r="D15" s="20" t="str">
        <f t="shared" si="0"/>
        <v>ImpermeabilizaçãoPAV1</v>
      </c>
      <c r="E15" s="20" t="s">
        <v>26</v>
      </c>
      <c r="F15" s="20" t="s">
        <v>54</v>
      </c>
      <c r="G15" s="65">
        <v>5</v>
      </c>
      <c r="H15" s="18">
        <v>44552</v>
      </c>
      <c r="I15" s="18">
        <v>44559</v>
      </c>
      <c r="J15" s="17">
        <v>44559</v>
      </c>
      <c r="K15" s="17"/>
      <c r="L15" s="196">
        <v>239.07</v>
      </c>
      <c r="M15" s="21">
        <v>0</v>
      </c>
      <c r="N15" s="20"/>
      <c r="O15" s="20"/>
      <c r="P15" s="194">
        <v>0.25</v>
      </c>
      <c r="Q15" s="19" t="s">
        <v>76</v>
      </c>
      <c r="R15" s="19" t="s">
        <v>50</v>
      </c>
      <c r="S15" s="19" t="s">
        <v>77</v>
      </c>
      <c r="T15" s="19" t="s">
        <v>76</v>
      </c>
      <c r="U15" s="19" t="s">
        <v>34</v>
      </c>
      <c r="V15" s="225">
        <v>6.08</v>
      </c>
      <c r="W15" s="19" t="s">
        <v>29</v>
      </c>
      <c r="X15" s="214">
        <f t="shared" si="1"/>
        <v>1.5578176423372545E-4</v>
      </c>
      <c r="Y15" s="7"/>
      <c r="Z15" s="7">
        <v>1</v>
      </c>
      <c r="AA15" s="6">
        <f>IFERROR(VLOOKUP(H15,SEMANAS!$B$1:$D$301,2,0),0)</f>
        <v>19</v>
      </c>
      <c r="AB15" s="6">
        <f>IFERROR(VLOOKUP(I15,SEMANAS!$B$1:$D$301,2,0),0)</f>
        <v>20</v>
      </c>
      <c r="AC15" s="16">
        <f t="shared" si="2"/>
        <v>239.07</v>
      </c>
      <c r="AD15" s="10"/>
      <c r="AE15" s="10"/>
      <c r="AF15" s="10">
        <f>IFERROR(VLOOKUP(J15,SEMANAS!$B$1:$D$301,2,0),0)</f>
        <v>20</v>
      </c>
      <c r="AG15" s="10">
        <f>IFERROR(VLOOKUP(K15,SEMANAS!$B$1:$D$301,2,0),0)</f>
        <v>0</v>
      </c>
      <c r="AH15" s="11">
        <f>IF(P15&lt;1,0,P15*L15)</f>
        <v>0</v>
      </c>
      <c r="AI15" s="206" t="str">
        <f>IF(P15&gt;0,"executado",VLOOKUP(D15,'REPLAN - Agilean'!$A$6:$C$127,2,0))</f>
        <v>executado</v>
      </c>
      <c r="AJ15" s="206">
        <f>IF(P15=1,"executado",VLOOKUP(D15,'REPLAN - Agilean'!$A$6:$C$127,3,0))</f>
        <v>44566</v>
      </c>
      <c r="AK15" s="3">
        <f>IFERROR(VLOOKUP(AI15,SEMANAS!$B$1:$D$301,2,0),0)</f>
        <v>0</v>
      </c>
      <c r="AL15" s="3">
        <f>IFERROR(VLOOKUP(AJ15,SEMANAS!$B$1:$D$301,2,0),0)</f>
        <v>21</v>
      </c>
      <c r="AM15" s="220">
        <f t="shared" si="8"/>
        <v>239.07</v>
      </c>
      <c r="AN15" s="218">
        <f>IFERROR(VLOOKUP(D15,#REF!,6,0),0)</f>
        <v>0</v>
      </c>
      <c r="AO15" s="218">
        <f>IFERROR(VLOOKUP(D15,#REF!,7,0),0)</f>
        <v>0</v>
      </c>
      <c r="AP15" s="206" t="str">
        <f t="shared" si="9"/>
        <v>desembolsado</v>
      </c>
      <c r="AQ15" s="206" t="e">
        <f t="shared" si="10"/>
        <v>#VALUE!</v>
      </c>
    </row>
    <row r="16" spans="1:43" x14ac:dyDescent="0.25">
      <c r="A16" s="20" t="s">
        <v>78</v>
      </c>
      <c r="B16" s="20" t="s">
        <v>79</v>
      </c>
      <c r="C16" s="20" t="s">
        <v>398</v>
      </c>
      <c r="D16" s="20" t="str">
        <f t="shared" si="0"/>
        <v>CerâmicaPAV1</v>
      </c>
      <c r="E16" s="20" t="s">
        <v>26</v>
      </c>
      <c r="F16" s="20" t="s">
        <v>54</v>
      </c>
      <c r="G16" s="65">
        <v>5</v>
      </c>
      <c r="H16" s="18">
        <v>44559</v>
      </c>
      <c r="I16" s="18">
        <v>44566</v>
      </c>
      <c r="J16" s="17"/>
      <c r="K16" s="17"/>
      <c r="L16" s="196">
        <v>20435.66</v>
      </c>
      <c r="M16" s="21">
        <v>0</v>
      </c>
      <c r="N16" s="20"/>
      <c r="O16" s="20"/>
      <c r="P16" s="194">
        <v>0</v>
      </c>
      <c r="Q16" s="19" t="s">
        <v>80</v>
      </c>
      <c r="R16" s="19" t="s">
        <v>50</v>
      </c>
      <c r="S16" s="19" t="s">
        <v>81</v>
      </c>
      <c r="T16" s="19" t="s">
        <v>80</v>
      </c>
      <c r="U16" s="19" t="s">
        <v>34</v>
      </c>
      <c r="V16" s="225">
        <v>86.26</v>
      </c>
      <c r="W16" s="19" t="s">
        <v>29</v>
      </c>
      <c r="X16" s="214">
        <f t="shared" si="1"/>
        <v>1.3316196796254544E-2</v>
      </c>
      <c r="Y16" s="7"/>
      <c r="Z16" s="7">
        <v>0.6</v>
      </c>
      <c r="AA16" s="6">
        <f>IFERROR(VLOOKUP(H16,SEMANAS!$B$1:$D$301,2,0),0)</f>
        <v>20</v>
      </c>
      <c r="AB16" s="6">
        <f>IFERROR(VLOOKUP(I16,SEMANAS!$B$1:$D$301,2,0),0)</f>
        <v>21</v>
      </c>
      <c r="AC16" s="16">
        <f t="shared" si="2"/>
        <v>12261.395999999999</v>
      </c>
      <c r="AD16" s="10"/>
      <c r="AE16" s="10"/>
      <c r="AF16" s="10">
        <f>IFERROR(VLOOKUP(J16,SEMANAS!$B$1:$D$301,2,0),0)</f>
        <v>0</v>
      </c>
      <c r="AG16" s="10">
        <f>IFERROR(VLOOKUP(K16,SEMANAS!$B$1:$D$301,2,0),0)</f>
        <v>0</v>
      </c>
      <c r="AH16" s="11">
        <f t="shared" si="3"/>
        <v>0</v>
      </c>
      <c r="AI16" s="206">
        <f>IF(P16&gt;0,"executado",VLOOKUP(D16,'REPLAN - Agilean'!$A$6:$C$127,2,0))</f>
        <v>44567</v>
      </c>
      <c r="AJ16" s="206">
        <f>IF(P16=1,"executado",VLOOKUP(D16,'REPLAN - Agilean'!$A$6:$C$127,3,0))</f>
        <v>44573</v>
      </c>
      <c r="AK16" s="3">
        <f>IFERROR(VLOOKUP(AI16,SEMANAS!$B$1:$D$301,2,0),0)</f>
        <v>21</v>
      </c>
      <c r="AL16" s="3">
        <f>IFERROR(VLOOKUP(AJ16,SEMANAS!$B$1:$D$301,2,0),0)</f>
        <v>22</v>
      </c>
      <c r="AM16" s="220">
        <f>IF(AL16&lt;=0,0,L16)</f>
        <v>20435.66</v>
      </c>
      <c r="AN16" s="218">
        <f>IFERROR(VLOOKUP(D16,#REF!,6,0),0)</f>
        <v>0</v>
      </c>
      <c r="AO16" s="218">
        <f>IFERROR(VLOOKUP(D16,#REF!,7,0),0)</f>
        <v>0</v>
      </c>
      <c r="AP16" s="206">
        <f>IF(AI16="executado","desembolsado",AI16-15)</f>
        <v>44552</v>
      </c>
      <c r="AQ16" s="206">
        <f>IF(AJ16="executado","desembolsado",AI16+15)</f>
        <v>44582</v>
      </c>
    </row>
    <row r="17" spans="1:43" x14ac:dyDescent="0.25">
      <c r="A17" s="20" t="s">
        <v>82</v>
      </c>
      <c r="B17" s="20" t="s">
        <v>83</v>
      </c>
      <c r="C17" s="20" t="s">
        <v>399</v>
      </c>
      <c r="D17" s="20" t="str">
        <f t="shared" si="0"/>
        <v>Gesso LisoPAV1</v>
      </c>
      <c r="E17" s="20" t="s">
        <v>26</v>
      </c>
      <c r="F17" s="20" t="s">
        <v>54</v>
      </c>
      <c r="G17" s="65">
        <v>5</v>
      </c>
      <c r="H17" s="18">
        <v>44566</v>
      </c>
      <c r="I17" s="18">
        <v>44573</v>
      </c>
      <c r="J17" s="17"/>
      <c r="K17" s="17"/>
      <c r="L17" s="196">
        <v>6811.28</v>
      </c>
      <c r="M17" s="21">
        <v>0</v>
      </c>
      <c r="N17" s="20"/>
      <c r="O17" s="20"/>
      <c r="P17" s="194">
        <v>0</v>
      </c>
      <c r="Q17" s="19" t="s">
        <v>84</v>
      </c>
      <c r="R17" s="19" t="s">
        <v>50</v>
      </c>
      <c r="S17" s="19" t="s">
        <v>85</v>
      </c>
      <c r="T17" s="19" t="s">
        <v>86</v>
      </c>
      <c r="U17" s="19" t="s">
        <v>34</v>
      </c>
      <c r="V17" s="225">
        <v>447.45</v>
      </c>
      <c r="W17" s="19" t="s">
        <v>29</v>
      </c>
      <c r="X17" s="214">
        <f t="shared" si="1"/>
        <v>4.4383369518964716E-3</v>
      </c>
      <c r="Y17" s="6"/>
      <c r="Z17" s="6"/>
      <c r="AA17" s="6">
        <f>IFERROR(VLOOKUP(H17,SEMANAS!$B$1:$D$301,2,0),0)</f>
        <v>21</v>
      </c>
      <c r="AB17" s="6">
        <f>IFERROR(VLOOKUP(I17,SEMANAS!$B$1:$D$301,2,0),0)</f>
        <v>22</v>
      </c>
      <c r="AC17" s="16">
        <f t="shared" si="2"/>
        <v>0</v>
      </c>
      <c r="AD17" s="10"/>
      <c r="AE17" s="10"/>
      <c r="AF17" s="10">
        <f>IFERROR(VLOOKUP(J17,SEMANAS!$B$1:$D$301,2,0),0)</f>
        <v>0</v>
      </c>
      <c r="AG17" s="10">
        <f>IFERROR(VLOOKUP(K17,SEMANAS!$B$1:$D$301,2,0),0)</f>
        <v>0</v>
      </c>
      <c r="AH17" s="11">
        <f t="shared" si="3"/>
        <v>0</v>
      </c>
      <c r="AI17" s="206">
        <f>IF(P17&gt;0,"executado",VLOOKUP(D17,'REPLAN - Agilean'!$A$6:$C$127,2,0))</f>
        <v>44574</v>
      </c>
      <c r="AJ17" s="206">
        <f>IF(P17&gt;0,"executado",VLOOKUP(D17,'REPLAN - Agilean'!$A$6:$C$127,3,0))</f>
        <v>44580</v>
      </c>
      <c r="AK17" s="3">
        <f>IFERROR(VLOOKUP(AI17,SEMANAS!$B$1:$D$301,2,0),0)</f>
        <v>22</v>
      </c>
      <c r="AL17" s="3">
        <f>IFERROR(VLOOKUP(AJ17,SEMANAS!$B$1:$D$301,2,0),0)</f>
        <v>23</v>
      </c>
      <c r="AM17" s="220">
        <f t="shared" si="8"/>
        <v>6811.28</v>
      </c>
      <c r="AN17" s="218">
        <f>IFERROR(VLOOKUP(D17,#REF!,6,0),0)</f>
        <v>0</v>
      </c>
      <c r="AO17" s="218">
        <f>IFERROR(VLOOKUP(D17,#REF!,7,0),0)</f>
        <v>0</v>
      </c>
      <c r="AP17" s="206">
        <f t="shared" si="9"/>
        <v>44559</v>
      </c>
      <c r="AQ17" s="206">
        <f t="shared" si="10"/>
        <v>44589</v>
      </c>
    </row>
    <row r="18" spans="1:43" x14ac:dyDescent="0.25">
      <c r="A18" s="20" t="s">
        <v>87</v>
      </c>
      <c r="B18" s="20" t="s">
        <v>88</v>
      </c>
      <c r="C18" s="20" t="s">
        <v>400</v>
      </c>
      <c r="D18" s="20" t="str">
        <f t="shared" si="0"/>
        <v>Esquadria PAV1</v>
      </c>
      <c r="E18" s="20" t="s">
        <v>26</v>
      </c>
      <c r="F18" s="20" t="s">
        <v>54</v>
      </c>
      <c r="G18" s="65">
        <v>5</v>
      </c>
      <c r="H18" s="18">
        <v>44573</v>
      </c>
      <c r="I18" s="18">
        <v>44580</v>
      </c>
      <c r="J18" s="17"/>
      <c r="K18" s="17"/>
      <c r="L18" s="196">
        <v>26500</v>
      </c>
      <c r="M18" s="21">
        <v>0</v>
      </c>
      <c r="N18" s="20"/>
      <c r="O18" s="20"/>
      <c r="P18" s="194">
        <v>0</v>
      </c>
      <c r="Q18" s="19" t="s">
        <v>89</v>
      </c>
      <c r="R18" s="19" t="s">
        <v>50</v>
      </c>
      <c r="S18" s="19" t="s">
        <v>90</v>
      </c>
      <c r="T18" s="19" t="s">
        <v>89</v>
      </c>
      <c r="U18" s="19" t="s">
        <v>34</v>
      </c>
      <c r="V18" s="225">
        <v>21</v>
      </c>
      <c r="W18" s="19" t="s">
        <v>91</v>
      </c>
      <c r="X18" s="214">
        <f t="shared" si="1"/>
        <v>1.7267815920833748E-2</v>
      </c>
      <c r="Y18" s="6"/>
      <c r="Z18" s="6"/>
      <c r="AA18" s="6">
        <f>IFERROR(VLOOKUP(H18,SEMANAS!$B$1:$D$301,2,0),0)</f>
        <v>22</v>
      </c>
      <c r="AB18" s="6">
        <f>IFERROR(VLOOKUP(I18,SEMANAS!$B$1:$D$301,2,0),0)</f>
        <v>23</v>
      </c>
      <c r="AC18" s="16">
        <f t="shared" si="2"/>
        <v>0</v>
      </c>
      <c r="AD18" s="10"/>
      <c r="AE18" s="10"/>
      <c r="AF18" s="10">
        <f>IFERROR(VLOOKUP(J18,SEMANAS!$B$1:$D$301,2,0),0)</f>
        <v>0</v>
      </c>
      <c r="AG18" s="10">
        <f>IFERROR(VLOOKUP(K18,SEMANAS!$B$1:$D$301,2,0),0)</f>
        <v>0</v>
      </c>
      <c r="AH18" s="11">
        <f t="shared" si="3"/>
        <v>0</v>
      </c>
      <c r="AI18" s="206">
        <f>IF(P18&gt;0,"executado",VLOOKUP(D18,'REPLAN - Agilean'!$A$6:$C$127,2,0))</f>
        <v>44588</v>
      </c>
      <c r="AJ18" s="206">
        <f>IF(P18&gt;0,"executado",VLOOKUP(D18,'REPLAN - Agilean'!$A$6:$C$127,3,0))</f>
        <v>44592</v>
      </c>
      <c r="AK18" s="3">
        <f>IFERROR(VLOOKUP(AI18,SEMANAS!$B$1:$D$301,2,0),0)</f>
        <v>24</v>
      </c>
      <c r="AL18" s="3">
        <f>IFERROR(VLOOKUP(AJ18,SEMANAS!$B$1:$D$301,2,0),0)</f>
        <v>25</v>
      </c>
      <c r="AM18" s="220">
        <f t="shared" si="8"/>
        <v>26500</v>
      </c>
      <c r="AN18" s="218">
        <f>IFERROR(VLOOKUP(D18,#REF!,6,0),0)</f>
        <v>0</v>
      </c>
      <c r="AO18" s="218">
        <f>IFERROR(VLOOKUP(D18,#REF!,7,0),0)</f>
        <v>0</v>
      </c>
      <c r="AP18" s="206">
        <f t="shared" si="9"/>
        <v>44573</v>
      </c>
      <c r="AQ18" s="206">
        <f t="shared" si="10"/>
        <v>44603</v>
      </c>
    </row>
    <row r="19" spans="1:43" x14ac:dyDescent="0.25">
      <c r="A19" s="20" t="s">
        <v>92</v>
      </c>
      <c r="B19" s="20" t="s">
        <v>93</v>
      </c>
      <c r="C19" s="20" t="s">
        <v>401</v>
      </c>
      <c r="D19" s="20" t="str">
        <f t="shared" si="0"/>
        <v>FiaçãoPAV1</v>
      </c>
      <c r="E19" s="20" t="s">
        <v>26</v>
      </c>
      <c r="F19" s="20" t="s">
        <v>54</v>
      </c>
      <c r="G19" s="65">
        <v>5</v>
      </c>
      <c r="H19" s="18">
        <v>44580</v>
      </c>
      <c r="I19" s="18">
        <v>44587</v>
      </c>
      <c r="J19" s="17"/>
      <c r="K19" s="17"/>
      <c r="L19" s="196">
        <v>5134.5200000000004</v>
      </c>
      <c r="M19" s="21">
        <v>0</v>
      </c>
      <c r="N19" s="20"/>
      <c r="O19" s="20"/>
      <c r="P19" s="194">
        <v>0</v>
      </c>
      <c r="Q19" s="19" t="s">
        <v>84</v>
      </c>
      <c r="R19" s="19" t="s">
        <v>50</v>
      </c>
      <c r="S19" s="19" t="s">
        <v>85</v>
      </c>
      <c r="T19" s="19" t="s">
        <v>94</v>
      </c>
      <c r="U19" s="19" t="s">
        <v>34</v>
      </c>
      <c r="V19" s="225">
        <v>4</v>
      </c>
      <c r="W19" s="19" t="s">
        <v>95</v>
      </c>
      <c r="X19" s="214">
        <f t="shared" si="1"/>
        <v>3.3457338189373321E-3</v>
      </c>
      <c r="Y19" s="6"/>
      <c r="Z19" s="6"/>
      <c r="AA19" s="6">
        <f>IFERROR(VLOOKUP(H19,SEMANAS!$B$1:$D$301,2,0),0)</f>
        <v>23</v>
      </c>
      <c r="AB19" s="6">
        <f>IFERROR(VLOOKUP(I19,SEMANAS!$B$1:$D$301,2,0),0)</f>
        <v>24</v>
      </c>
      <c r="AC19" s="16">
        <f t="shared" si="2"/>
        <v>0</v>
      </c>
      <c r="AD19" s="10"/>
      <c r="AE19" s="10"/>
      <c r="AF19" s="10">
        <f>IFERROR(VLOOKUP(J19,SEMANAS!$B$1:$D$301,2,0),0)</f>
        <v>0</v>
      </c>
      <c r="AG19" s="10">
        <f>IFERROR(VLOOKUP(K19,SEMANAS!$B$1:$D$301,2,0),0)</f>
        <v>0</v>
      </c>
      <c r="AH19" s="11">
        <f t="shared" si="3"/>
        <v>0</v>
      </c>
      <c r="AI19" s="206">
        <f>IF(P19&gt;0,"executado",VLOOKUP(D19,'REPLAN - Agilean'!$A$6:$C$127,2,0))</f>
        <v>44593</v>
      </c>
      <c r="AJ19" s="206">
        <f>IF(P19&gt;0,"executado",VLOOKUP(D19,'REPLAN - Agilean'!$A$6:$C$127,3,0))</f>
        <v>44599</v>
      </c>
      <c r="AK19" s="3">
        <f>IFERROR(VLOOKUP(AI19,SEMANAS!$B$1:$D$301,2,0),0)</f>
        <v>25</v>
      </c>
      <c r="AL19" s="3">
        <f>IFERROR(VLOOKUP(AJ19,SEMANAS!$B$1:$D$301,2,0),0)</f>
        <v>26</v>
      </c>
      <c r="AM19" s="220">
        <f t="shared" si="8"/>
        <v>5134.5200000000004</v>
      </c>
      <c r="AN19" s="218">
        <f>IFERROR(VLOOKUP(D19,#REF!,6,0),0)</f>
        <v>0</v>
      </c>
      <c r="AO19" s="218">
        <f>IFERROR(VLOOKUP(D19,#REF!,7,0),0)</f>
        <v>0</v>
      </c>
      <c r="AP19" s="206">
        <f t="shared" si="9"/>
        <v>44578</v>
      </c>
      <c r="AQ19" s="206">
        <f t="shared" si="10"/>
        <v>44608</v>
      </c>
    </row>
    <row r="20" spans="1:43" x14ac:dyDescent="0.25">
      <c r="A20" s="20" t="s">
        <v>96</v>
      </c>
      <c r="B20" s="20" t="s">
        <v>97</v>
      </c>
      <c r="C20" s="20" t="s">
        <v>402</v>
      </c>
      <c r="D20" s="20" t="str">
        <f t="shared" si="0"/>
        <v>ForroPAV1</v>
      </c>
      <c r="E20" s="20" t="s">
        <v>26</v>
      </c>
      <c r="F20" s="20" t="s">
        <v>54</v>
      </c>
      <c r="G20" s="65">
        <v>5</v>
      </c>
      <c r="H20" s="18">
        <v>44587</v>
      </c>
      <c r="I20" s="18">
        <v>44594</v>
      </c>
      <c r="J20" s="17"/>
      <c r="K20" s="17"/>
      <c r="L20" s="196">
        <v>2297.4899999999998</v>
      </c>
      <c r="M20" s="21">
        <v>0</v>
      </c>
      <c r="N20" s="20"/>
      <c r="O20" s="20"/>
      <c r="P20" s="194">
        <v>0</v>
      </c>
      <c r="Q20" s="19" t="s">
        <v>98</v>
      </c>
      <c r="R20" s="19" t="s">
        <v>50</v>
      </c>
      <c r="S20" s="19" t="s">
        <v>99</v>
      </c>
      <c r="T20" s="19" t="s">
        <v>98</v>
      </c>
      <c r="U20" s="19" t="s">
        <v>34</v>
      </c>
      <c r="V20" s="225">
        <v>29.29</v>
      </c>
      <c r="W20" s="19" t="s">
        <v>29</v>
      </c>
      <c r="X20" s="214">
        <f t="shared" si="1"/>
        <v>1.4970805433945783E-3</v>
      </c>
      <c r="Y20" s="6"/>
      <c r="Z20" s="6"/>
      <c r="AA20" s="6">
        <f>IFERROR(VLOOKUP(H20,SEMANAS!$B$1:$D$301,2,0),0)</f>
        <v>24</v>
      </c>
      <c r="AB20" s="6">
        <f>IFERROR(VLOOKUP(I20,SEMANAS!$B$1:$D$301,2,0),0)</f>
        <v>25</v>
      </c>
      <c r="AC20" s="16">
        <f t="shared" si="2"/>
        <v>0</v>
      </c>
      <c r="AD20" s="10"/>
      <c r="AE20" s="10"/>
      <c r="AF20" s="10">
        <f>IFERROR(VLOOKUP(J20,SEMANAS!$B$1:$D$301,2,0),0)</f>
        <v>0</v>
      </c>
      <c r="AG20" s="10">
        <f>IFERROR(VLOOKUP(K20,SEMANAS!$B$1:$D$301,2,0),0)</f>
        <v>0</v>
      </c>
      <c r="AH20" s="11">
        <f t="shared" si="3"/>
        <v>0</v>
      </c>
      <c r="AI20" s="206">
        <f>IF(P20&gt;0,"executado",VLOOKUP(D20,'REPLAN - Agilean'!$A$6:$C$127,2,0))</f>
        <v>44600</v>
      </c>
      <c r="AJ20" s="206">
        <f>IF(P20&gt;0,"executado",VLOOKUP(D20,'REPLAN - Agilean'!$A$6:$C$127,3,0))</f>
        <v>44606</v>
      </c>
      <c r="AK20" s="3">
        <f>IFERROR(VLOOKUP(AI20,SEMANAS!$B$1:$D$301,2,0),0)</f>
        <v>26</v>
      </c>
      <c r="AL20" s="3">
        <f>IFERROR(VLOOKUP(AJ20,SEMANAS!$B$1:$D$301,2,0),0)</f>
        <v>27</v>
      </c>
      <c r="AM20" s="220">
        <f t="shared" si="8"/>
        <v>2297.4899999999998</v>
      </c>
      <c r="AN20" s="218">
        <f>IFERROR(VLOOKUP(D20,#REF!,6,0),0)</f>
        <v>0</v>
      </c>
      <c r="AO20" s="218">
        <f>IFERROR(VLOOKUP(D20,#REF!,7,0),0)</f>
        <v>0</v>
      </c>
      <c r="AP20" s="206">
        <f t="shared" si="9"/>
        <v>44585</v>
      </c>
      <c r="AQ20" s="206">
        <f t="shared" si="10"/>
        <v>44615</v>
      </c>
    </row>
    <row r="21" spans="1:43" x14ac:dyDescent="0.25">
      <c r="A21" s="20" t="s">
        <v>100</v>
      </c>
      <c r="B21" s="20" t="s">
        <v>101</v>
      </c>
      <c r="C21" s="20" t="s">
        <v>403</v>
      </c>
      <c r="D21" s="20" t="str">
        <f t="shared" si="0"/>
        <v>Rev. da CirculaçãoPAV1</v>
      </c>
      <c r="E21" s="20" t="s">
        <v>26</v>
      </c>
      <c r="F21" s="20" t="s">
        <v>54</v>
      </c>
      <c r="G21" s="65">
        <v>5</v>
      </c>
      <c r="H21" s="18">
        <v>44594</v>
      </c>
      <c r="I21" s="18">
        <v>44601</v>
      </c>
      <c r="J21" s="17"/>
      <c r="K21" s="17"/>
      <c r="L21" s="196">
        <v>3617.3</v>
      </c>
      <c r="M21" s="21">
        <v>0</v>
      </c>
      <c r="N21" s="20"/>
      <c r="O21" s="20"/>
      <c r="P21" s="194">
        <v>0</v>
      </c>
      <c r="Q21" s="19" t="s">
        <v>102</v>
      </c>
      <c r="R21" s="19" t="s">
        <v>50</v>
      </c>
      <c r="S21" s="19" t="s">
        <v>103</v>
      </c>
      <c r="T21" s="19" t="s">
        <v>102</v>
      </c>
      <c r="U21" s="19" t="s">
        <v>34</v>
      </c>
      <c r="V21" s="225">
        <v>22.5</v>
      </c>
      <c r="W21" s="19" t="s">
        <v>29</v>
      </c>
      <c r="X21" s="214">
        <f t="shared" si="1"/>
        <v>2.3570894539785632E-3</v>
      </c>
      <c r="Y21" s="6"/>
      <c r="Z21" s="6"/>
      <c r="AA21" s="6">
        <f>IFERROR(VLOOKUP(H21,SEMANAS!$B$1:$D$301,2,0),0)</f>
        <v>25</v>
      </c>
      <c r="AB21" s="6">
        <f>IFERROR(VLOOKUP(I21,SEMANAS!$B$1:$D$301,2,0),0)</f>
        <v>26</v>
      </c>
      <c r="AC21" s="16">
        <f t="shared" si="2"/>
        <v>0</v>
      </c>
      <c r="AD21" s="10"/>
      <c r="AE21" s="10"/>
      <c r="AF21" s="10">
        <f>IFERROR(VLOOKUP(J21,SEMANAS!$B$1:$D$301,2,0),0)</f>
        <v>0</v>
      </c>
      <c r="AG21" s="10">
        <f>IFERROR(VLOOKUP(K21,SEMANAS!$B$1:$D$301,2,0),0)</f>
        <v>0</v>
      </c>
      <c r="AH21" s="11">
        <f t="shared" si="3"/>
        <v>0</v>
      </c>
      <c r="AI21" s="206">
        <f>IF(P21&gt;0,"executado",VLOOKUP(D21,'REPLAN - Agilean'!$A$6:$C$127,2,0))</f>
        <v>44607</v>
      </c>
      <c r="AJ21" s="206">
        <f>IF(P21&gt;0,"executado",VLOOKUP(D21,'REPLAN - Agilean'!$A$6:$C$127,3,0))</f>
        <v>44613</v>
      </c>
      <c r="AK21" s="3">
        <f>IFERROR(VLOOKUP(AI21,SEMANAS!$B$1:$D$301,2,0),0)</f>
        <v>27</v>
      </c>
      <c r="AL21" s="3">
        <f>IFERROR(VLOOKUP(AJ21,SEMANAS!$B$1:$D$301,2,0),0)</f>
        <v>28</v>
      </c>
      <c r="AM21" s="220">
        <f t="shared" si="8"/>
        <v>3617.3</v>
      </c>
      <c r="AN21" s="218">
        <f>IFERROR(VLOOKUP(D21,#REF!,6,0),0)</f>
        <v>0</v>
      </c>
      <c r="AO21" s="218">
        <f>IFERROR(VLOOKUP(D21,#REF!,7,0),0)</f>
        <v>0</v>
      </c>
      <c r="AP21" s="206">
        <f t="shared" si="9"/>
        <v>44592</v>
      </c>
      <c r="AQ21" s="206">
        <f t="shared" si="10"/>
        <v>44622</v>
      </c>
    </row>
    <row r="22" spans="1:43" x14ac:dyDescent="0.25">
      <c r="A22" s="20" t="s">
        <v>104</v>
      </c>
      <c r="B22" s="20" t="s">
        <v>105</v>
      </c>
      <c r="C22" s="20" t="s">
        <v>404</v>
      </c>
      <c r="D22" s="20" t="str">
        <f t="shared" si="0"/>
        <v>Disjuntores e CDPAV1</v>
      </c>
      <c r="E22" s="20" t="s">
        <v>26</v>
      </c>
      <c r="F22" s="20" t="s">
        <v>54</v>
      </c>
      <c r="G22" s="65">
        <v>2</v>
      </c>
      <c r="H22" s="18">
        <v>44606</v>
      </c>
      <c r="I22" s="18">
        <v>44608</v>
      </c>
      <c r="J22" s="17"/>
      <c r="K22" s="17"/>
      <c r="L22" s="196">
        <v>1400</v>
      </c>
      <c r="M22" s="21">
        <v>0</v>
      </c>
      <c r="N22" s="20"/>
      <c r="O22" s="20"/>
      <c r="P22" s="194">
        <v>0</v>
      </c>
      <c r="Q22" s="19" t="s">
        <v>106</v>
      </c>
      <c r="R22" s="19" t="s">
        <v>50</v>
      </c>
      <c r="S22" s="19" t="s">
        <v>107</v>
      </c>
      <c r="T22" s="19" t="s">
        <v>106</v>
      </c>
      <c r="U22" s="19" t="s">
        <v>34</v>
      </c>
      <c r="V22" s="225">
        <v>4</v>
      </c>
      <c r="W22" s="19" t="s">
        <v>95</v>
      </c>
      <c r="X22" s="214">
        <f t="shared" si="1"/>
        <v>9.1226197317612252E-4</v>
      </c>
      <c r="Y22" s="6"/>
      <c r="Z22" s="6"/>
      <c r="AA22" s="6">
        <f>IFERROR(VLOOKUP(H22,SEMANAS!$B$1:$D$301,2,0),0)</f>
        <v>27</v>
      </c>
      <c r="AB22" s="6">
        <f>IFERROR(VLOOKUP(I22,SEMANAS!$B$1:$D$301,2,0),0)</f>
        <v>27</v>
      </c>
      <c r="AC22" s="16">
        <f t="shared" si="2"/>
        <v>0</v>
      </c>
      <c r="AD22" s="10"/>
      <c r="AE22" s="10"/>
      <c r="AF22" s="10">
        <f>IFERROR(VLOOKUP(J22,SEMANAS!$B$1:$D$301,2,0),0)</f>
        <v>0</v>
      </c>
      <c r="AG22" s="10">
        <f>IFERROR(VLOOKUP(K22,SEMANAS!$B$1:$D$301,2,0),0)</f>
        <v>0</v>
      </c>
      <c r="AH22" s="11">
        <f t="shared" si="3"/>
        <v>0</v>
      </c>
      <c r="AI22" s="206">
        <f>IF(P22&gt;0,"executado",VLOOKUP(D22,'REPLAN - Agilean'!$A$6:$C$127,2,0))</f>
        <v>44609</v>
      </c>
      <c r="AJ22" s="206">
        <f>IF(P22&gt;0,"executado",VLOOKUP(D22,'REPLAN - Agilean'!$A$6:$C$127,3,0))</f>
        <v>44613</v>
      </c>
      <c r="AK22" s="3">
        <f>IFERROR(VLOOKUP(AI22,SEMANAS!$B$1:$D$301,2,0),0)</f>
        <v>27</v>
      </c>
      <c r="AL22" s="3">
        <f>IFERROR(VLOOKUP(AJ22,SEMANAS!$B$1:$D$301,2,0),0)</f>
        <v>28</v>
      </c>
      <c r="AM22" s="220">
        <f t="shared" si="8"/>
        <v>1400</v>
      </c>
      <c r="AN22" s="218">
        <f>IFERROR(VLOOKUP(D22,#REF!,6,0),0)</f>
        <v>0</v>
      </c>
      <c r="AO22" s="218">
        <f>IFERROR(VLOOKUP(D22,#REF!,7,0),0)</f>
        <v>0</v>
      </c>
      <c r="AP22" s="206">
        <f t="shared" si="9"/>
        <v>44594</v>
      </c>
      <c r="AQ22" s="206">
        <f t="shared" si="10"/>
        <v>44624</v>
      </c>
    </row>
    <row r="23" spans="1:43" x14ac:dyDescent="0.25">
      <c r="A23" s="20" t="s">
        <v>108</v>
      </c>
      <c r="B23" s="20" t="s">
        <v>109</v>
      </c>
      <c r="C23" s="20" t="s">
        <v>405</v>
      </c>
      <c r="D23" s="20" t="str">
        <f t="shared" si="0"/>
        <v>Pintura Interna - 1ªdmãoPAV1</v>
      </c>
      <c r="E23" s="20" t="s">
        <v>26</v>
      </c>
      <c r="F23" s="20" t="s">
        <v>54</v>
      </c>
      <c r="G23" s="65">
        <v>5</v>
      </c>
      <c r="H23" s="18">
        <v>44608</v>
      </c>
      <c r="I23" s="18">
        <v>44615</v>
      </c>
      <c r="J23" s="17"/>
      <c r="K23" s="17"/>
      <c r="L23" s="196">
        <v>14799.65</v>
      </c>
      <c r="M23" s="21">
        <v>0</v>
      </c>
      <c r="N23" s="20"/>
      <c r="O23" s="20"/>
      <c r="P23" s="194">
        <v>0</v>
      </c>
      <c r="Q23" s="19" t="s">
        <v>84</v>
      </c>
      <c r="R23" s="19" t="s">
        <v>50</v>
      </c>
      <c r="S23" s="19" t="s">
        <v>85</v>
      </c>
      <c r="T23" s="19" t="s">
        <v>110</v>
      </c>
      <c r="U23" s="19" t="s">
        <v>34</v>
      </c>
      <c r="V23" s="225">
        <v>476.74</v>
      </c>
      <c r="W23" s="19" t="s">
        <v>29</v>
      </c>
      <c r="X23" s="214">
        <f t="shared" si="1"/>
        <v>9.6436842223685728E-3</v>
      </c>
      <c r="Y23" s="6"/>
      <c r="Z23" s="6"/>
      <c r="AA23" s="6">
        <f>IFERROR(VLOOKUP(H23,SEMANAS!$B$1:$D$301,2,0),0)</f>
        <v>27</v>
      </c>
      <c r="AB23" s="6">
        <f>IFERROR(VLOOKUP(I23,SEMANAS!$B$1:$D$301,2,0),0)</f>
        <v>28</v>
      </c>
      <c r="AC23" s="16">
        <f t="shared" si="2"/>
        <v>0</v>
      </c>
      <c r="AD23" s="10"/>
      <c r="AE23" s="10"/>
      <c r="AF23" s="10">
        <f>IFERROR(VLOOKUP(J23,SEMANAS!$B$1:$D$301,2,0),0)</f>
        <v>0</v>
      </c>
      <c r="AG23" s="10">
        <f>IFERROR(VLOOKUP(K23,SEMANAS!$B$1:$D$301,2,0),0)</f>
        <v>0</v>
      </c>
      <c r="AH23" s="11">
        <f t="shared" si="3"/>
        <v>0</v>
      </c>
      <c r="AI23" s="206">
        <f>IF(P23&gt;0,"executado",VLOOKUP(D23,'REPLAN - Agilean'!$A$6:$C$127,2,0))</f>
        <v>44614</v>
      </c>
      <c r="AJ23" s="206">
        <f>IF(P23&gt;0,"executado",VLOOKUP(D23,'REPLAN - Agilean'!$A$6:$C$127,3,0))</f>
        <v>44620</v>
      </c>
      <c r="AK23" s="3">
        <f>IFERROR(VLOOKUP(AI23,SEMANAS!$B$1:$D$301,2,0),0)</f>
        <v>28</v>
      </c>
      <c r="AL23" s="3">
        <f>IFERROR(VLOOKUP(AJ23,SEMANAS!$B$1:$D$301,2,0),0)</f>
        <v>29</v>
      </c>
      <c r="AM23" s="220">
        <f t="shared" si="8"/>
        <v>14799.65</v>
      </c>
      <c r="AN23" s="218">
        <f>IFERROR(VLOOKUP(D23,#REF!,6,0),0)</f>
        <v>0</v>
      </c>
      <c r="AO23" s="218">
        <f>IFERROR(VLOOKUP(D23,#REF!,7,0),0)</f>
        <v>0</v>
      </c>
      <c r="AP23" s="206">
        <f t="shared" si="9"/>
        <v>44599</v>
      </c>
      <c r="AQ23" s="206">
        <f t="shared" si="10"/>
        <v>44629</v>
      </c>
    </row>
    <row r="24" spans="1:43" x14ac:dyDescent="0.25">
      <c r="A24" s="20" t="s">
        <v>111</v>
      </c>
      <c r="B24" s="20" t="s">
        <v>112</v>
      </c>
      <c r="C24" s="20" t="s">
        <v>406</v>
      </c>
      <c r="D24" s="20" t="str">
        <f t="shared" si="0"/>
        <v>LouçasPAV1</v>
      </c>
      <c r="E24" s="20" t="s">
        <v>26</v>
      </c>
      <c r="F24" s="20" t="s">
        <v>54</v>
      </c>
      <c r="G24" s="65">
        <v>5</v>
      </c>
      <c r="H24" s="18">
        <v>44615</v>
      </c>
      <c r="I24" s="18">
        <v>44622</v>
      </c>
      <c r="J24" s="17"/>
      <c r="K24" s="17"/>
      <c r="L24" s="196">
        <v>5236.0200000000004</v>
      </c>
      <c r="M24" s="21">
        <v>0</v>
      </c>
      <c r="N24" s="20"/>
      <c r="O24" s="20"/>
      <c r="P24" s="194">
        <v>0</v>
      </c>
      <c r="Q24" s="19" t="s">
        <v>113</v>
      </c>
      <c r="R24" s="19" t="s">
        <v>50</v>
      </c>
      <c r="S24" s="19" t="s">
        <v>114</v>
      </c>
      <c r="T24" s="19" t="s">
        <v>113</v>
      </c>
      <c r="U24" s="19" t="s">
        <v>34</v>
      </c>
      <c r="V24" s="225">
        <v>16</v>
      </c>
      <c r="W24" s="19" t="s">
        <v>91</v>
      </c>
      <c r="X24" s="214">
        <f t="shared" si="1"/>
        <v>3.411872811992601E-3</v>
      </c>
      <c r="Y24" s="6"/>
      <c r="Z24" s="6"/>
      <c r="AA24" s="6">
        <f>IFERROR(VLOOKUP(H24,SEMANAS!$B$1:$D$301,2,0),0)</f>
        <v>28</v>
      </c>
      <c r="AB24" s="6">
        <f>IFERROR(VLOOKUP(I24,SEMANAS!$B$1:$D$301,2,0),0)</f>
        <v>29</v>
      </c>
      <c r="AC24" s="16">
        <f t="shared" si="2"/>
        <v>0</v>
      </c>
      <c r="AD24" s="10"/>
      <c r="AE24" s="10"/>
      <c r="AF24" s="10">
        <f>IFERROR(VLOOKUP(J24,SEMANAS!$B$1:$D$301,2,0),0)</f>
        <v>0</v>
      </c>
      <c r="AG24" s="10">
        <f>IFERROR(VLOOKUP(K24,SEMANAS!$B$1:$D$301,2,0),0)</f>
        <v>0</v>
      </c>
      <c r="AH24" s="11">
        <f t="shared" si="3"/>
        <v>0</v>
      </c>
      <c r="AI24" s="206">
        <f>IF(P24&gt;0,"executado",VLOOKUP(D24,'REPLAN - Agilean'!$A$6:$C$127,2,0))</f>
        <v>44630</v>
      </c>
      <c r="AJ24" s="206">
        <f>IF(P24&gt;0,"executado",VLOOKUP(D24,'REPLAN - Agilean'!$A$6:$C$127,3,0))</f>
        <v>44634</v>
      </c>
      <c r="AK24" s="3">
        <f>IFERROR(VLOOKUP(AI24,SEMANAS!$B$1:$D$301,2,0),0)</f>
        <v>30</v>
      </c>
      <c r="AL24" s="3">
        <f>IFERROR(VLOOKUP(AJ24,SEMANAS!$B$1:$D$301,2,0),0)</f>
        <v>31</v>
      </c>
      <c r="AM24" s="220">
        <f t="shared" si="8"/>
        <v>5236.0200000000004</v>
      </c>
      <c r="AN24" s="218">
        <f>IFERROR(VLOOKUP(D24,#REF!,6,0),0)</f>
        <v>0</v>
      </c>
      <c r="AO24" s="218">
        <f>IFERROR(VLOOKUP(D24,#REF!,7,0),0)</f>
        <v>0</v>
      </c>
      <c r="AP24" s="206">
        <f t="shared" si="9"/>
        <v>44615</v>
      </c>
      <c r="AQ24" s="206">
        <f t="shared" si="10"/>
        <v>44645</v>
      </c>
    </row>
    <row r="25" spans="1:43" x14ac:dyDescent="0.25">
      <c r="A25" s="20" t="s">
        <v>115</v>
      </c>
      <c r="B25" s="20" t="s">
        <v>116</v>
      </c>
      <c r="C25" s="20" t="s">
        <v>407</v>
      </c>
      <c r="D25" s="20" t="str">
        <f t="shared" si="0"/>
        <v>Portas de MadeiraPAV1</v>
      </c>
      <c r="E25" s="20" t="s">
        <v>26</v>
      </c>
      <c r="F25" s="20" t="s">
        <v>54</v>
      </c>
      <c r="G25" s="65">
        <v>5</v>
      </c>
      <c r="H25" s="18">
        <v>44622</v>
      </c>
      <c r="I25" s="18">
        <v>44629</v>
      </c>
      <c r="J25" s="17"/>
      <c r="K25" s="17"/>
      <c r="L25" s="196">
        <v>10400</v>
      </c>
      <c r="M25" s="21">
        <v>0</v>
      </c>
      <c r="N25" s="20"/>
      <c r="O25" s="20"/>
      <c r="P25" s="194">
        <v>0</v>
      </c>
      <c r="Q25" s="19" t="s">
        <v>117</v>
      </c>
      <c r="R25" s="19" t="s">
        <v>50</v>
      </c>
      <c r="S25" s="19" t="s">
        <v>118</v>
      </c>
      <c r="T25" s="19" t="s">
        <v>117</v>
      </c>
      <c r="U25" s="19" t="s">
        <v>34</v>
      </c>
      <c r="V25" s="225">
        <v>20</v>
      </c>
      <c r="W25" s="19" t="s">
        <v>91</v>
      </c>
      <c r="X25" s="214">
        <f t="shared" si="1"/>
        <v>6.7768032293083385E-3</v>
      </c>
      <c r="Y25" s="6"/>
      <c r="Z25" s="6"/>
      <c r="AA25" s="6">
        <f>IFERROR(VLOOKUP(H25,SEMANAS!$B$1:$D$301,2,0),0)</f>
        <v>29</v>
      </c>
      <c r="AB25" s="6">
        <f>IFERROR(VLOOKUP(I25,SEMANAS!$B$1:$D$301,2,0),0)</f>
        <v>30</v>
      </c>
      <c r="AC25" s="16">
        <f t="shared" si="2"/>
        <v>0</v>
      </c>
      <c r="AD25" s="10"/>
      <c r="AE25" s="10"/>
      <c r="AF25" s="10">
        <f>IFERROR(VLOOKUP(J25,SEMANAS!$B$1:$D$301,2,0),0)</f>
        <v>0</v>
      </c>
      <c r="AG25" s="10">
        <f>IFERROR(VLOOKUP(K25,SEMANAS!$B$1:$D$301,2,0),0)</f>
        <v>0</v>
      </c>
      <c r="AH25" s="11">
        <f t="shared" si="3"/>
        <v>0</v>
      </c>
      <c r="AI25" s="206">
        <f>IF(P25&gt;0,"executado",VLOOKUP(D25,'REPLAN - Agilean'!$A$6:$C$127,2,0))</f>
        <v>44635</v>
      </c>
      <c r="AJ25" s="206">
        <f>IF(P25&gt;0,"executado",VLOOKUP(D25,'REPLAN - Agilean'!$A$6:$C$127,3,0))</f>
        <v>44637</v>
      </c>
      <c r="AK25" s="3">
        <f>IFERROR(VLOOKUP(AI25,SEMANAS!$B$1:$D$301,2,0),0)</f>
        <v>31</v>
      </c>
      <c r="AL25" s="3">
        <f>IFERROR(VLOOKUP(AJ25,SEMANAS!$B$1:$D$301,2,0),0)</f>
        <v>31</v>
      </c>
      <c r="AM25" s="220">
        <f t="shared" si="8"/>
        <v>10400</v>
      </c>
      <c r="AN25" s="218">
        <f>IFERROR(VLOOKUP(D25,#REF!,6,0),0)</f>
        <v>0</v>
      </c>
      <c r="AO25" s="218">
        <f>IFERROR(VLOOKUP(D25,#REF!,7,0),0)</f>
        <v>0</v>
      </c>
      <c r="AP25" s="206">
        <f t="shared" si="9"/>
        <v>44620</v>
      </c>
      <c r="AQ25" s="206">
        <f t="shared" si="10"/>
        <v>44650</v>
      </c>
    </row>
    <row r="26" spans="1:43" x14ac:dyDescent="0.25">
      <c r="A26" s="20" t="s">
        <v>119</v>
      </c>
      <c r="B26" s="20" t="s">
        <v>120</v>
      </c>
      <c r="C26" s="20" t="s">
        <v>408</v>
      </c>
      <c r="D26" s="20" t="str">
        <f t="shared" si="0"/>
        <v>Esquadria de Ferro CirculaçãoPAV1</v>
      </c>
      <c r="E26" s="20" t="s">
        <v>26</v>
      </c>
      <c r="F26" s="20" t="s">
        <v>54</v>
      </c>
      <c r="G26" s="65">
        <v>2</v>
      </c>
      <c r="H26" s="18">
        <v>44622</v>
      </c>
      <c r="I26" s="18">
        <v>44624</v>
      </c>
      <c r="J26" s="17"/>
      <c r="K26" s="17"/>
      <c r="L26" s="196">
        <v>2054.02</v>
      </c>
      <c r="M26" s="21">
        <v>0</v>
      </c>
      <c r="N26" s="20"/>
      <c r="O26" s="20"/>
      <c r="P26" s="194">
        <v>0</v>
      </c>
      <c r="Q26" s="19" t="s">
        <v>121</v>
      </c>
      <c r="R26" s="19" t="s">
        <v>50</v>
      </c>
      <c r="S26" s="19" t="s">
        <v>122</v>
      </c>
      <c r="T26" s="19" t="s">
        <v>121</v>
      </c>
      <c r="U26" s="19" t="s">
        <v>34</v>
      </c>
      <c r="V26" s="225">
        <v>4.17</v>
      </c>
      <c r="W26" s="19" t="s">
        <v>123</v>
      </c>
      <c r="X26" s="214">
        <f t="shared" si="1"/>
        <v>1.3384316701022993E-3</v>
      </c>
      <c r="Y26" s="6"/>
      <c r="Z26" s="6"/>
      <c r="AA26" s="6">
        <f>IFERROR(VLOOKUP(H26,SEMANAS!$B$1:$D$301,2,0),0)</f>
        <v>29</v>
      </c>
      <c r="AB26" s="6">
        <f>IFERROR(VLOOKUP(I26,SEMANAS!$B$1:$D$301,2,0),0)</f>
        <v>29</v>
      </c>
      <c r="AC26" s="16">
        <f t="shared" si="2"/>
        <v>0</v>
      </c>
      <c r="AD26" s="10"/>
      <c r="AE26" s="10"/>
      <c r="AF26" s="10">
        <f>IFERROR(VLOOKUP(J26,SEMANAS!$B$1:$D$301,2,0),0)</f>
        <v>0</v>
      </c>
      <c r="AG26" s="10">
        <f>IFERROR(VLOOKUP(K26,SEMANAS!$B$1:$D$301,2,0),0)</f>
        <v>0</v>
      </c>
      <c r="AH26" s="11">
        <f t="shared" si="3"/>
        <v>0</v>
      </c>
      <c r="AI26" s="206">
        <f>IF(P26&gt;0,"executado",VLOOKUP(D26,'REPLAN - Agilean'!$A$6:$C$127,2,0))</f>
        <v>44630</v>
      </c>
      <c r="AJ26" s="206">
        <f>IF(P26&gt;0,"executado",VLOOKUP(D26,'REPLAN - Agilean'!$A$6:$C$127,3,0))</f>
        <v>44634</v>
      </c>
      <c r="AK26" s="3">
        <f>IFERROR(VLOOKUP(AI26,SEMANAS!$B$1:$D$301,2,0),0)</f>
        <v>30</v>
      </c>
      <c r="AL26" s="3">
        <f>IFERROR(VLOOKUP(AJ26,SEMANAS!$B$1:$D$301,2,0),0)</f>
        <v>31</v>
      </c>
      <c r="AM26" s="220">
        <f t="shared" si="8"/>
        <v>2054.02</v>
      </c>
      <c r="AN26" s="218">
        <f>IFERROR(VLOOKUP(D26,#REF!,6,0),0)</f>
        <v>0</v>
      </c>
      <c r="AO26" s="218">
        <f>IFERROR(VLOOKUP(D26,#REF!,7,0),0)</f>
        <v>0</v>
      </c>
      <c r="AP26" s="206">
        <f t="shared" si="9"/>
        <v>44615</v>
      </c>
      <c r="AQ26" s="206">
        <f t="shared" si="10"/>
        <v>44645</v>
      </c>
    </row>
    <row r="27" spans="1:43" x14ac:dyDescent="0.25">
      <c r="A27" s="20" t="s">
        <v>124</v>
      </c>
      <c r="B27" s="20" t="s">
        <v>125</v>
      </c>
      <c r="C27" s="20" t="s">
        <v>409</v>
      </c>
      <c r="D27" s="20" t="str">
        <f t="shared" si="0"/>
        <v>Piso Laminado + RodapéPAV1</v>
      </c>
      <c r="E27" s="20" t="s">
        <v>26</v>
      </c>
      <c r="F27" s="20" t="s">
        <v>54</v>
      </c>
      <c r="G27" s="65">
        <v>5</v>
      </c>
      <c r="H27" s="18">
        <v>44629</v>
      </c>
      <c r="I27" s="18">
        <v>44636</v>
      </c>
      <c r="J27" s="17"/>
      <c r="K27" s="17"/>
      <c r="L27" s="196">
        <v>13171.26</v>
      </c>
      <c r="M27" s="21">
        <v>0</v>
      </c>
      <c r="N27" s="20"/>
      <c r="O27" s="20"/>
      <c r="P27" s="194">
        <v>0</v>
      </c>
      <c r="Q27" s="19" t="s">
        <v>126</v>
      </c>
      <c r="R27" s="19" t="s">
        <v>50</v>
      </c>
      <c r="S27" s="19" t="s">
        <v>127</v>
      </c>
      <c r="T27" s="19" t="s">
        <v>126</v>
      </c>
      <c r="U27" s="19" t="s">
        <v>34</v>
      </c>
      <c r="V27" s="225">
        <v>80.88</v>
      </c>
      <c r="W27" s="19" t="s">
        <v>29</v>
      </c>
      <c r="X27" s="214">
        <f t="shared" si="1"/>
        <v>8.5825997405826679E-3</v>
      </c>
      <c r="Y27" s="6"/>
      <c r="Z27" s="6"/>
      <c r="AA27" s="6">
        <f>IFERROR(VLOOKUP(H27,SEMANAS!$B$1:$D$301,2,0),0)</f>
        <v>30</v>
      </c>
      <c r="AB27" s="6">
        <f>IFERROR(VLOOKUP(I27,SEMANAS!$B$1:$D$301,2,0),0)</f>
        <v>31</v>
      </c>
      <c r="AC27" s="16">
        <f t="shared" si="2"/>
        <v>0</v>
      </c>
      <c r="AD27" s="10"/>
      <c r="AE27" s="10"/>
      <c r="AF27" s="10">
        <f>IFERROR(VLOOKUP(J27,SEMANAS!$B$1:$D$301,2,0),0)</f>
        <v>0</v>
      </c>
      <c r="AG27" s="10">
        <f>IFERROR(VLOOKUP(K27,SEMANAS!$B$1:$D$301,2,0),0)</f>
        <v>0</v>
      </c>
      <c r="AH27" s="11">
        <f t="shared" si="3"/>
        <v>0</v>
      </c>
      <c r="AI27" s="206">
        <f>IF(P27&gt;0,"executado",VLOOKUP(D27,'REPLAN - Agilean'!$A$6:$C$127,2,0))</f>
        <v>44642</v>
      </c>
      <c r="AJ27" s="206">
        <f>IF(P27&gt;0,"executado",VLOOKUP(D27,'REPLAN - Agilean'!$A$6:$C$127,3,0))</f>
        <v>44648</v>
      </c>
      <c r="AK27" s="3">
        <f>IFERROR(VLOOKUP(AI27,SEMANAS!$B$1:$D$301,2,0),0)</f>
        <v>32</v>
      </c>
      <c r="AL27" s="3">
        <f>IFERROR(VLOOKUP(AJ27,SEMANAS!$B$1:$D$301,2,0),0)</f>
        <v>33</v>
      </c>
      <c r="AM27" s="220">
        <f t="shared" si="8"/>
        <v>13171.26</v>
      </c>
      <c r="AN27" s="218">
        <f>IFERROR(VLOOKUP(D27,#REF!,6,0),0)</f>
        <v>0</v>
      </c>
      <c r="AO27" s="218">
        <f>IFERROR(VLOOKUP(D27,#REF!,7,0),0)</f>
        <v>0</v>
      </c>
      <c r="AP27" s="206">
        <f t="shared" si="9"/>
        <v>44627</v>
      </c>
      <c r="AQ27" s="206">
        <f t="shared" si="10"/>
        <v>44657</v>
      </c>
    </row>
    <row r="28" spans="1:43" x14ac:dyDescent="0.25">
      <c r="A28" s="20" t="s">
        <v>128</v>
      </c>
      <c r="B28" s="20" t="s">
        <v>129</v>
      </c>
      <c r="C28" s="20" t="s">
        <v>410</v>
      </c>
      <c r="D28" s="20" t="str">
        <f t="shared" si="0"/>
        <v>MetaisPAV1</v>
      </c>
      <c r="E28" s="20" t="s">
        <v>26</v>
      </c>
      <c r="F28" s="20" t="s">
        <v>54</v>
      </c>
      <c r="G28" s="65">
        <v>2</v>
      </c>
      <c r="H28" s="18">
        <v>44648</v>
      </c>
      <c r="I28" s="18">
        <v>44650</v>
      </c>
      <c r="J28" s="17"/>
      <c r="K28" s="17"/>
      <c r="L28" s="196">
        <v>1340.04</v>
      </c>
      <c r="M28" s="21">
        <v>0</v>
      </c>
      <c r="N28" s="20"/>
      <c r="O28" s="20"/>
      <c r="P28" s="194">
        <v>0</v>
      </c>
      <c r="Q28" s="19" t="s">
        <v>130</v>
      </c>
      <c r="R28" s="19" t="s">
        <v>50</v>
      </c>
      <c r="S28" s="19" t="s">
        <v>131</v>
      </c>
      <c r="T28" s="19" t="s">
        <v>130</v>
      </c>
      <c r="U28" s="19" t="s">
        <v>34</v>
      </c>
      <c r="V28" s="225">
        <v>12</v>
      </c>
      <c r="W28" s="19" t="s">
        <v>91</v>
      </c>
      <c r="X28" s="214">
        <f t="shared" si="1"/>
        <v>8.7319109609637949E-4</v>
      </c>
      <c r="Y28" s="6"/>
      <c r="Z28" s="6"/>
      <c r="AA28" s="6">
        <f>IFERROR(VLOOKUP(H28,SEMANAS!$B$1:$D$301,2,0),0)</f>
        <v>33</v>
      </c>
      <c r="AB28" s="6">
        <f>IFERROR(VLOOKUP(I28,SEMANAS!$B$1:$D$301,2,0),0)</f>
        <v>33</v>
      </c>
      <c r="AC28" s="16">
        <f t="shared" si="2"/>
        <v>0</v>
      </c>
      <c r="AD28" s="10"/>
      <c r="AE28" s="10"/>
      <c r="AF28" s="10">
        <f>IFERROR(VLOOKUP(J28,SEMANAS!$B$1:$D$301,2,0),0)</f>
        <v>0</v>
      </c>
      <c r="AG28" s="10">
        <f>IFERROR(VLOOKUP(K28,SEMANAS!$B$1:$D$301,2,0),0)</f>
        <v>0</v>
      </c>
      <c r="AH28" s="11">
        <f t="shared" si="3"/>
        <v>0</v>
      </c>
      <c r="AI28" s="206">
        <f>IF(P28&gt;0,"executado",VLOOKUP(D28,'REPLAN - Agilean'!$A$6:$C$127,2,0))</f>
        <v>44637</v>
      </c>
      <c r="AJ28" s="206">
        <f>IF(P28&gt;0,"executado",VLOOKUP(D28,'REPLAN - Agilean'!$A$6:$C$127,3,0))</f>
        <v>44641</v>
      </c>
      <c r="AK28" s="3">
        <f>IFERROR(VLOOKUP(AI28,SEMANAS!$B$1:$D$301,2,0),0)</f>
        <v>31</v>
      </c>
      <c r="AL28" s="3">
        <f>IFERROR(VLOOKUP(AJ28,SEMANAS!$B$1:$D$301,2,0),0)</f>
        <v>32</v>
      </c>
      <c r="AM28" s="220">
        <f t="shared" si="8"/>
        <v>1340.04</v>
      </c>
      <c r="AN28" s="218">
        <f>IFERROR(VLOOKUP(D28,#REF!,6,0),0)</f>
        <v>0</v>
      </c>
      <c r="AO28" s="218">
        <f>IFERROR(VLOOKUP(D28,#REF!,7,0),0)</f>
        <v>0</v>
      </c>
      <c r="AP28" s="206">
        <f t="shared" si="9"/>
        <v>44622</v>
      </c>
      <c r="AQ28" s="206">
        <f t="shared" si="10"/>
        <v>44652</v>
      </c>
    </row>
    <row r="29" spans="1:43" x14ac:dyDescent="0.25">
      <c r="A29" s="20" t="s">
        <v>132</v>
      </c>
      <c r="B29" s="20" t="s">
        <v>133</v>
      </c>
      <c r="C29" s="20" t="s">
        <v>411</v>
      </c>
      <c r="D29" s="20" t="str">
        <f t="shared" si="0"/>
        <v>Acabamentos ElétricosPAV1</v>
      </c>
      <c r="E29" s="20" t="s">
        <v>26</v>
      </c>
      <c r="F29" s="20" t="s">
        <v>54</v>
      </c>
      <c r="G29" s="65">
        <v>2</v>
      </c>
      <c r="H29" s="18">
        <v>44648</v>
      </c>
      <c r="I29" s="18">
        <v>44650</v>
      </c>
      <c r="J29" s="17"/>
      <c r="K29" s="17"/>
      <c r="L29" s="196">
        <v>0</v>
      </c>
      <c r="M29" s="21">
        <v>0</v>
      </c>
      <c r="N29" s="20"/>
      <c r="O29" s="20"/>
      <c r="P29" s="194">
        <v>0</v>
      </c>
      <c r="Q29" s="19" t="s">
        <v>84</v>
      </c>
      <c r="R29" s="19" t="s">
        <v>50</v>
      </c>
      <c r="S29" s="19" t="s">
        <v>85</v>
      </c>
      <c r="T29" s="19" t="s">
        <v>134</v>
      </c>
      <c r="U29" s="19" t="s">
        <v>34</v>
      </c>
      <c r="V29" s="225">
        <v>4</v>
      </c>
      <c r="W29" s="19" t="s">
        <v>95</v>
      </c>
      <c r="X29" s="214">
        <f t="shared" si="1"/>
        <v>0</v>
      </c>
      <c r="Y29" s="6"/>
      <c r="Z29" s="6"/>
      <c r="AA29" s="6">
        <f>IFERROR(VLOOKUP(H29,SEMANAS!$B$1:$D$301,2,0),0)</f>
        <v>33</v>
      </c>
      <c r="AB29" s="6">
        <f>IFERROR(VLOOKUP(I29,SEMANAS!$B$1:$D$301,2,0),0)</f>
        <v>33</v>
      </c>
      <c r="AC29" s="16">
        <f t="shared" si="2"/>
        <v>0</v>
      </c>
      <c r="AD29" s="10"/>
      <c r="AE29" s="10"/>
      <c r="AF29" s="10">
        <f>IFERROR(VLOOKUP(J29,SEMANAS!$B$1:$D$301,2,0),0)</f>
        <v>0</v>
      </c>
      <c r="AG29" s="10">
        <f>IFERROR(VLOOKUP(K29,SEMANAS!$B$1:$D$301,2,0),0)</f>
        <v>0</v>
      </c>
      <c r="AH29" s="11">
        <f t="shared" si="3"/>
        <v>0</v>
      </c>
      <c r="AI29" s="206">
        <f>IF(P29&gt;0,"executado",VLOOKUP(D29,'REPLAN - Agilean'!$A$6:$C$127,2,0))</f>
        <v>44637</v>
      </c>
      <c r="AJ29" s="206">
        <f>IF(P29&gt;0,"executado",VLOOKUP(D29,'REPLAN - Agilean'!$A$6:$C$127,3,0))</f>
        <v>44641</v>
      </c>
      <c r="AK29" s="3">
        <f>IFERROR(VLOOKUP(AI29,SEMANAS!$B$1:$D$301,2,0),0)</f>
        <v>31</v>
      </c>
      <c r="AL29" s="3">
        <f>IFERROR(VLOOKUP(AJ29,SEMANAS!$B$1:$D$301,2,0),0)</f>
        <v>32</v>
      </c>
      <c r="AM29" s="220">
        <f t="shared" si="8"/>
        <v>0</v>
      </c>
      <c r="AN29" s="218">
        <f>IFERROR(VLOOKUP(D29,#REF!,6,0),0)</f>
        <v>0</v>
      </c>
      <c r="AO29" s="218">
        <f>IFERROR(VLOOKUP(D29,#REF!,7,0),0)</f>
        <v>0</v>
      </c>
      <c r="AP29" s="206">
        <f t="shared" si="9"/>
        <v>44622</v>
      </c>
      <c r="AQ29" s="206">
        <f t="shared" si="10"/>
        <v>44652</v>
      </c>
    </row>
    <row r="30" spans="1:43" x14ac:dyDescent="0.25">
      <c r="A30" s="20" t="s">
        <v>135</v>
      </c>
      <c r="B30" s="20" t="s">
        <v>136</v>
      </c>
      <c r="C30" s="20" t="s">
        <v>412</v>
      </c>
      <c r="D30" s="20" t="str">
        <f t="shared" si="0"/>
        <v>Pintura FinalPAV1</v>
      </c>
      <c r="E30" s="20" t="s">
        <v>26</v>
      </c>
      <c r="F30" s="20" t="s">
        <v>54</v>
      </c>
      <c r="G30" s="65">
        <v>5</v>
      </c>
      <c r="H30" s="18">
        <v>44650</v>
      </c>
      <c r="I30" s="18">
        <v>44657</v>
      </c>
      <c r="J30" s="17"/>
      <c r="K30" s="17"/>
      <c r="L30" s="196">
        <v>3687.38</v>
      </c>
      <c r="M30" s="21">
        <v>0</v>
      </c>
      <c r="N30" s="20"/>
      <c r="O30" s="20"/>
      <c r="P30" s="194">
        <v>0</v>
      </c>
      <c r="Q30" s="19" t="s">
        <v>84</v>
      </c>
      <c r="R30" s="19" t="s">
        <v>50</v>
      </c>
      <c r="S30" s="19" t="s">
        <v>85</v>
      </c>
      <c r="T30" s="19" t="s">
        <v>137</v>
      </c>
      <c r="U30" s="19" t="s">
        <v>34</v>
      </c>
      <c r="V30" s="225">
        <v>614.55999999999995</v>
      </c>
      <c r="W30" s="19" t="s">
        <v>29</v>
      </c>
      <c r="X30" s="214">
        <f t="shared" si="1"/>
        <v>2.4027546818929791E-3</v>
      </c>
      <c r="Y30" s="6"/>
      <c r="Z30" s="6"/>
      <c r="AA30" s="6">
        <f>IFERROR(VLOOKUP(H30,SEMANAS!$B$1:$D$301,2,0),0)</f>
        <v>33</v>
      </c>
      <c r="AB30" s="6">
        <f>IFERROR(VLOOKUP(I30,SEMANAS!$B$1:$D$301,2,0),0)</f>
        <v>34</v>
      </c>
      <c r="AC30" s="16">
        <f t="shared" si="2"/>
        <v>0</v>
      </c>
      <c r="AD30" s="10"/>
      <c r="AE30" s="10"/>
      <c r="AF30" s="10">
        <f>IFERROR(VLOOKUP(J30,SEMANAS!$B$1:$D$301,2,0),0)</f>
        <v>0</v>
      </c>
      <c r="AG30" s="10">
        <f>IFERROR(VLOOKUP(K30,SEMANAS!$B$1:$D$301,2,0),0)</f>
        <v>0</v>
      </c>
      <c r="AH30" s="11">
        <f t="shared" si="3"/>
        <v>0</v>
      </c>
      <c r="AI30" s="206">
        <f>IF(P30&gt;0,"executado",VLOOKUP(D30,'REPLAN - Agilean'!$A$6:$C$127,2,0))</f>
        <v>44649</v>
      </c>
      <c r="AJ30" s="206">
        <f>IF(P30&gt;0,"executado",VLOOKUP(D30,'REPLAN - Agilean'!$A$6:$C$127,3,0))</f>
        <v>44655</v>
      </c>
      <c r="AK30" s="3">
        <f>IFERROR(VLOOKUP(AI30,SEMANAS!$B$1:$D$301,2,0),0)</f>
        <v>33</v>
      </c>
      <c r="AL30" s="3">
        <f>IFERROR(VLOOKUP(AJ30,SEMANAS!$B$1:$D$301,2,0),0)</f>
        <v>34</v>
      </c>
      <c r="AM30" s="220">
        <f t="shared" si="8"/>
        <v>3687.38</v>
      </c>
      <c r="AN30" s="218">
        <f>IFERROR(VLOOKUP(D30,#REF!,6,0),0)</f>
        <v>0</v>
      </c>
      <c r="AO30" s="218">
        <f>IFERROR(VLOOKUP(D30,#REF!,7,0),0)</f>
        <v>0</v>
      </c>
      <c r="AP30" s="206">
        <f t="shared" si="9"/>
        <v>44634</v>
      </c>
      <c r="AQ30" s="206">
        <f t="shared" si="10"/>
        <v>44664</v>
      </c>
    </row>
    <row r="31" spans="1:43" x14ac:dyDescent="0.25">
      <c r="A31" s="20" t="s">
        <v>138</v>
      </c>
      <c r="B31" s="20" t="s">
        <v>139</v>
      </c>
      <c r="C31" s="20" t="s">
        <v>413</v>
      </c>
      <c r="D31" s="20" t="str">
        <f t="shared" si="0"/>
        <v>Complementação e LimpezaPAV1</v>
      </c>
      <c r="E31" s="20" t="s">
        <v>26</v>
      </c>
      <c r="F31" s="20" t="s">
        <v>54</v>
      </c>
      <c r="G31" s="65">
        <v>2</v>
      </c>
      <c r="H31" s="18">
        <v>44669</v>
      </c>
      <c r="I31" s="18">
        <v>44671</v>
      </c>
      <c r="J31" s="17"/>
      <c r="K31" s="17"/>
      <c r="L31" s="196">
        <v>500</v>
      </c>
      <c r="M31" s="21">
        <v>0</v>
      </c>
      <c r="N31" s="20"/>
      <c r="O31" s="20"/>
      <c r="P31" s="194">
        <v>0</v>
      </c>
      <c r="Q31" s="19" t="s">
        <v>84</v>
      </c>
      <c r="R31" s="19" t="s">
        <v>50</v>
      </c>
      <c r="S31" s="19" t="s">
        <v>85</v>
      </c>
      <c r="T31" s="19" t="s">
        <v>140</v>
      </c>
      <c r="U31" s="19" t="s">
        <v>34</v>
      </c>
      <c r="V31" s="225">
        <v>0.25</v>
      </c>
      <c r="W31" s="19" t="s">
        <v>44</v>
      </c>
      <c r="X31" s="214">
        <f t="shared" si="1"/>
        <v>3.2580784756290089E-4</v>
      </c>
      <c r="Y31" s="6"/>
      <c r="Z31" s="6"/>
      <c r="AA31" s="6">
        <f>IFERROR(VLOOKUP(H31,SEMANAS!$B$1:$D$301,2,0),0)</f>
        <v>36</v>
      </c>
      <c r="AB31" s="6">
        <f>IFERROR(VLOOKUP(I31,SEMANAS!$B$1:$D$301,2,0),0)</f>
        <v>36</v>
      </c>
      <c r="AC31" s="16">
        <f t="shared" si="2"/>
        <v>0</v>
      </c>
      <c r="AD31" s="10"/>
      <c r="AE31" s="10"/>
      <c r="AF31" s="10">
        <f>IFERROR(VLOOKUP(J31,SEMANAS!$B$1:$D$301,2,0),0)</f>
        <v>0</v>
      </c>
      <c r="AG31" s="10">
        <f>IFERROR(VLOOKUP(K31,SEMANAS!$B$1:$D$301,2,0),0)</f>
        <v>0</v>
      </c>
      <c r="AH31" s="11">
        <f t="shared" si="3"/>
        <v>0</v>
      </c>
      <c r="AI31" s="206">
        <f>IF(P31&gt;0,"executado",VLOOKUP(D31,'REPLAN - Agilean'!$A$6:$C$127,2,0))</f>
        <v>44656</v>
      </c>
      <c r="AJ31" s="206">
        <f>IF(P31&gt;0,"executado",VLOOKUP(D31,'REPLAN - Agilean'!$A$6:$C$127,3,0))</f>
        <v>44658</v>
      </c>
      <c r="AK31" s="3">
        <f>IFERROR(VLOOKUP(AI31,SEMANAS!$B$1:$D$301,2,0),0)</f>
        <v>34</v>
      </c>
      <c r="AL31" s="3">
        <f>IFERROR(VLOOKUP(AJ31,SEMANAS!$B$1:$D$301,2,0),0)</f>
        <v>34</v>
      </c>
      <c r="AM31" s="220">
        <f t="shared" si="8"/>
        <v>500</v>
      </c>
      <c r="AN31" s="218">
        <f>IFERROR(VLOOKUP(D31,#REF!,6,0),0)</f>
        <v>0</v>
      </c>
      <c r="AO31" s="218">
        <f>IFERROR(VLOOKUP(D31,#REF!,7,0),0)</f>
        <v>0</v>
      </c>
      <c r="AP31" s="206">
        <f t="shared" si="9"/>
        <v>44641</v>
      </c>
      <c r="AQ31" s="206">
        <f t="shared" si="10"/>
        <v>44671</v>
      </c>
    </row>
    <row r="32" spans="1:43" x14ac:dyDescent="0.25">
      <c r="A32" s="20" t="s">
        <v>141</v>
      </c>
      <c r="B32" s="20" t="s">
        <v>142</v>
      </c>
      <c r="C32" s="20"/>
      <c r="D32" s="20" t="str">
        <f t="shared" si="0"/>
        <v>PAV2</v>
      </c>
      <c r="E32" s="20"/>
      <c r="F32" s="20"/>
      <c r="G32" s="65">
        <v>140</v>
      </c>
      <c r="H32" s="18">
        <v>44480</v>
      </c>
      <c r="I32" s="18">
        <v>44673</v>
      </c>
      <c r="J32" s="17"/>
      <c r="K32" s="17"/>
      <c r="L32" s="196"/>
      <c r="M32" s="21">
        <v>0</v>
      </c>
      <c r="N32" s="20"/>
      <c r="O32" s="20"/>
      <c r="P32" s="194">
        <v>0</v>
      </c>
      <c r="Q32" s="19"/>
      <c r="R32" s="19"/>
      <c r="S32" s="19" t="s">
        <v>51</v>
      </c>
      <c r="T32" s="19">
        <v>0</v>
      </c>
      <c r="U32" s="19">
        <v>0</v>
      </c>
      <c r="V32" s="225"/>
      <c r="W32" s="19"/>
      <c r="X32" s="214">
        <f t="shared" si="1"/>
        <v>0</v>
      </c>
      <c r="Y32" s="6"/>
      <c r="Z32" s="6"/>
      <c r="AA32" s="6">
        <f>IFERROR(VLOOKUP(H32,SEMANAS!$B$1:$D$301,2,0),0)</f>
        <v>9</v>
      </c>
      <c r="AB32" s="6">
        <f>IFERROR(VLOOKUP(I32,SEMANAS!$B$1:$D$301,2,0),0)</f>
        <v>36</v>
      </c>
      <c r="AC32" s="16">
        <f t="shared" si="2"/>
        <v>0</v>
      </c>
      <c r="AD32" s="10"/>
      <c r="AE32" s="10"/>
      <c r="AF32" s="10">
        <f>IFERROR(VLOOKUP(J32,SEMANAS!$B$1:$D$301,2,0),0)</f>
        <v>0</v>
      </c>
      <c r="AG32" s="10">
        <f>IFERROR(VLOOKUP(K32,SEMANAS!$B$1:$D$301,2,0),0)</f>
        <v>0</v>
      </c>
      <c r="AH32" s="11">
        <f t="shared" si="3"/>
        <v>0</v>
      </c>
      <c r="AI32" s="206">
        <f>IF(P32&gt;0,"executado",VLOOKUP(D32,'REPLAN - Agilean'!$A$6:$C$127,2,0))</f>
        <v>44480</v>
      </c>
      <c r="AJ32" s="206">
        <f>IF(P32&gt;0,"executado",VLOOKUP(D32,'REPLAN - Agilean'!$A$6:$C$127,3,0))</f>
        <v>44665</v>
      </c>
      <c r="AK32" s="3">
        <f>IFERROR(VLOOKUP(AI32,SEMANAS!$B$1:$D$301,2,0),0)</f>
        <v>9</v>
      </c>
      <c r="AL32" s="3">
        <f>IFERROR(VLOOKUP(AJ32,SEMANAS!$B$1:$D$301,2,0),0)</f>
        <v>35</v>
      </c>
      <c r="AM32" s="3">
        <f t="shared" si="4"/>
        <v>0</v>
      </c>
      <c r="AN32" s="3">
        <f>IFERROR(VLOOKUP(D32,#REF!,6,0),0)</f>
        <v>0</v>
      </c>
      <c r="AO32" s="3"/>
      <c r="AP32" s="3"/>
      <c r="AQ32" s="3"/>
    </row>
    <row r="33" spans="1:43" x14ac:dyDescent="0.25">
      <c r="A33" s="20" t="s">
        <v>143</v>
      </c>
      <c r="B33" s="20" t="s">
        <v>53</v>
      </c>
      <c r="C33" s="20" t="s">
        <v>392</v>
      </c>
      <c r="D33" s="20" t="str">
        <f t="shared" si="0"/>
        <v>Alvenaria EstruturalPAV2</v>
      </c>
      <c r="E33" s="20" t="s">
        <v>26</v>
      </c>
      <c r="F33" s="20" t="s">
        <v>54</v>
      </c>
      <c r="G33" s="65">
        <v>5</v>
      </c>
      <c r="H33" s="18">
        <v>44480</v>
      </c>
      <c r="I33" s="18">
        <v>44484</v>
      </c>
      <c r="J33" s="17">
        <v>44487</v>
      </c>
      <c r="K33" s="17">
        <v>44491</v>
      </c>
      <c r="L33" s="196">
        <v>96851.74</v>
      </c>
      <c r="M33" s="21">
        <v>0</v>
      </c>
      <c r="N33" s="20"/>
      <c r="O33" s="20"/>
      <c r="P33" s="194">
        <v>1</v>
      </c>
      <c r="Q33" s="19" t="s">
        <v>55</v>
      </c>
      <c r="R33" s="19" t="s">
        <v>142</v>
      </c>
      <c r="S33" s="19" t="s">
        <v>144</v>
      </c>
      <c r="T33" s="19" t="s">
        <v>55</v>
      </c>
      <c r="U33" s="19" t="s">
        <v>34</v>
      </c>
      <c r="V33" s="225">
        <v>390.7</v>
      </c>
      <c r="W33" s="19" t="s">
        <v>29</v>
      </c>
      <c r="X33" s="214">
        <f t="shared" si="1"/>
        <v>6.3110113884243424E-2</v>
      </c>
      <c r="Y33" s="7"/>
      <c r="Z33" s="7">
        <v>1</v>
      </c>
      <c r="AA33" s="6">
        <f>IFERROR(VLOOKUP(H33,SEMANAS!$B$1:$D$301,2,0),0)</f>
        <v>9</v>
      </c>
      <c r="AB33" s="6">
        <f>IFERROR(VLOOKUP(I33,SEMANAS!$B$1:$D$301,2,0),0)</f>
        <v>9</v>
      </c>
      <c r="AC33" s="16">
        <f t="shared" si="2"/>
        <v>96851.74</v>
      </c>
      <c r="AD33" s="10">
        <f>K33-J33+1</f>
        <v>5</v>
      </c>
      <c r="AE33" s="10"/>
      <c r="AF33" s="10">
        <f>IFERROR(VLOOKUP(J33,SEMANAS!$B$1:$D$301,2,0),0)</f>
        <v>10</v>
      </c>
      <c r="AG33" s="10">
        <f>IFERROR(VLOOKUP(K33,SEMANAS!$B$1:$D$301,2,0),0)</f>
        <v>10</v>
      </c>
      <c r="AH33" s="11">
        <f t="shared" si="3"/>
        <v>96851.74</v>
      </c>
      <c r="AI33" s="206" t="str">
        <f>IF(P33&gt;0,"executado",VLOOKUP(D33,'REPLAN - Agilean'!$A$6:$C$127,2,0))</f>
        <v>executado</v>
      </c>
      <c r="AJ33" s="206" t="str">
        <f>IF(P33&gt;0,"executado",VLOOKUP(D33,'REPLAN - Agilean'!$A$6:$C$127,3,0))</f>
        <v>executado</v>
      </c>
      <c r="AK33" s="3">
        <f>IFERROR(VLOOKUP(AI33,SEMANAS!$B$1:$D$301,2,0),0)</f>
        <v>0</v>
      </c>
      <c r="AL33" s="3">
        <f>IFERROR(VLOOKUP(AJ33,SEMANAS!$B$1:$D$301,2,0),0)</f>
        <v>0</v>
      </c>
      <c r="AM33" s="220">
        <f t="shared" ref="AM33:AM54" si="11">IF(AL33&lt;=0,0,L33)</f>
        <v>0</v>
      </c>
      <c r="AN33" s="218">
        <f>IFERROR(VLOOKUP(D33,#REF!,6,0),0)</f>
        <v>0</v>
      </c>
      <c r="AO33" s="218">
        <f>IFERROR(VLOOKUP(D33,#REF!,7,0),0)</f>
        <v>0</v>
      </c>
      <c r="AP33" s="206" t="str">
        <f t="shared" ref="AP33:AP54" si="12">IF(AI33="executado","desembolsado",AI33-15)</f>
        <v>desembolsado</v>
      </c>
      <c r="AQ33" s="206" t="str">
        <f t="shared" ref="AQ33:AQ54" si="13">IF(AJ33="executado","desembolsado",AI33+15)</f>
        <v>desembolsado</v>
      </c>
    </row>
    <row r="34" spans="1:43" x14ac:dyDescent="0.25">
      <c r="A34" s="20" t="s">
        <v>145</v>
      </c>
      <c r="B34" s="20" t="s">
        <v>58</v>
      </c>
      <c r="C34" s="20" t="s">
        <v>393</v>
      </c>
      <c r="D34" s="20" t="str">
        <f t="shared" si="0"/>
        <v>Estrutura Moldado in LocoPAV2</v>
      </c>
      <c r="E34" s="20" t="s">
        <v>26</v>
      </c>
      <c r="F34" s="20" t="s">
        <v>54</v>
      </c>
      <c r="G34" s="65">
        <v>5</v>
      </c>
      <c r="H34" s="18">
        <v>44487</v>
      </c>
      <c r="I34" s="18">
        <v>44491</v>
      </c>
      <c r="J34" s="17">
        <v>44494</v>
      </c>
      <c r="K34" s="17">
        <v>44498</v>
      </c>
      <c r="L34" s="196">
        <v>64892.03</v>
      </c>
      <c r="M34" s="21">
        <v>0</v>
      </c>
      <c r="N34" s="20"/>
      <c r="O34" s="20"/>
      <c r="P34" s="194">
        <v>1</v>
      </c>
      <c r="Q34" s="19" t="s">
        <v>59</v>
      </c>
      <c r="R34" s="19" t="s">
        <v>142</v>
      </c>
      <c r="S34" s="19" t="s">
        <v>146</v>
      </c>
      <c r="T34" s="19" t="s">
        <v>59</v>
      </c>
      <c r="U34" s="19" t="s">
        <v>34</v>
      </c>
      <c r="V34" s="225">
        <v>25.44</v>
      </c>
      <c r="W34" s="19" t="s">
        <v>35</v>
      </c>
      <c r="X34" s="214">
        <f t="shared" si="1"/>
        <v>4.2284665236574384E-2</v>
      </c>
      <c r="Y34" s="7"/>
      <c r="Z34" s="7">
        <v>1</v>
      </c>
      <c r="AA34" s="6">
        <f>IFERROR(VLOOKUP(H34,SEMANAS!$B$1:$D$301,2,0),0)</f>
        <v>10</v>
      </c>
      <c r="AB34" s="6">
        <f>IFERROR(VLOOKUP(I34,SEMANAS!$B$1:$D$301,2,0),0)</f>
        <v>10</v>
      </c>
      <c r="AC34" s="16">
        <f t="shared" si="2"/>
        <v>64892.03</v>
      </c>
      <c r="AD34" s="10">
        <f>K34-J34+1</f>
        <v>5</v>
      </c>
      <c r="AE34" s="10"/>
      <c r="AF34" s="10">
        <f>IFERROR(VLOOKUP(J34,SEMANAS!$B$1:$D$301,2,0),0)</f>
        <v>11</v>
      </c>
      <c r="AG34" s="10">
        <f>IFERROR(VLOOKUP(K34,SEMANAS!$B$1:$D$301,2,0),0)</f>
        <v>11</v>
      </c>
      <c r="AH34" s="11">
        <f t="shared" si="3"/>
        <v>64892.03</v>
      </c>
      <c r="AI34" s="206" t="str">
        <f>IF(P34&gt;0,"executado",VLOOKUP(D34,'REPLAN - Agilean'!$A$6:$C$127,2,0))</f>
        <v>executado</v>
      </c>
      <c r="AJ34" s="206" t="str">
        <f>IF(P34&gt;0,"executado",VLOOKUP(D34,'REPLAN - Agilean'!$A$6:$C$127,3,0))</f>
        <v>executado</v>
      </c>
      <c r="AK34" s="3">
        <f>IFERROR(VLOOKUP(AI34,SEMANAS!$B$1:$D$301,2,0),0)</f>
        <v>0</v>
      </c>
      <c r="AL34" s="3">
        <f>IFERROR(VLOOKUP(AJ34,SEMANAS!$B$1:$D$301,2,0),0)</f>
        <v>0</v>
      </c>
      <c r="AM34" s="220">
        <f t="shared" si="11"/>
        <v>0</v>
      </c>
      <c r="AN34" s="218">
        <f>IFERROR(VLOOKUP(D34,#REF!,6,0),0)</f>
        <v>0</v>
      </c>
      <c r="AO34" s="218">
        <f>IFERROR(VLOOKUP(D34,#REF!,7,0),0)</f>
        <v>0</v>
      </c>
      <c r="AP34" s="206" t="str">
        <f t="shared" si="12"/>
        <v>desembolsado</v>
      </c>
      <c r="AQ34" s="206" t="str">
        <f t="shared" si="13"/>
        <v>desembolsado</v>
      </c>
    </row>
    <row r="35" spans="1:43" x14ac:dyDescent="0.25">
      <c r="A35" s="20" t="s">
        <v>147</v>
      </c>
      <c r="B35" s="20" t="s">
        <v>62</v>
      </c>
      <c r="C35" s="20" t="s">
        <v>394</v>
      </c>
      <c r="D35" s="20" t="str">
        <f t="shared" si="0"/>
        <v>Instalações HidrossanitáriasPAV2</v>
      </c>
      <c r="E35" s="20" t="s">
        <v>26</v>
      </c>
      <c r="F35" s="20" t="s">
        <v>54</v>
      </c>
      <c r="G35" s="65">
        <v>5</v>
      </c>
      <c r="H35" s="18">
        <v>44508</v>
      </c>
      <c r="I35" s="18">
        <v>44512</v>
      </c>
      <c r="J35" s="17">
        <v>44529</v>
      </c>
      <c r="K35" s="17">
        <v>44534</v>
      </c>
      <c r="L35" s="196">
        <v>13455.89</v>
      </c>
      <c r="M35" s="21">
        <v>0</v>
      </c>
      <c r="N35" s="20"/>
      <c r="O35" s="20"/>
      <c r="P35" s="194">
        <v>1</v>
      </c>
      <c r="Q35" s="19" t="s">
        <v>63</v>
      </c>
      <c r="R35" s="19" t="s">
        <v>142</v>
      </c>
      <c r="S35" s="19" t="s">
        <v>148</v>
      </c>
      <c r="T35" s="19" t="s">
        <v>63</v>
      </c>
      <c r="U35" s="19" t="s">
        <v>34</v>
      </c>
      <c r="V35" s="225">
        <v>1</v>
      </c>
      <c r="W35" s="19" t="s">
        <v>65</v>
      </c>
      <c r="X35" s="214">
        <f t="shared" si="1"/>
        <v>8.7680691158863247E-3</v>
      </c>
      <c r="Y35" s="7"/>
      <c r="Z35" s="7">
        <v>1</v>
      </c>
      <c r="AA35" s="6">
        <f>IFERROR(VLOOKUP(H35,SEMANAS!$B$1:$D$301,2,0),0)</f>
        <v>13</v>
      </c>
      <c r="AB35" s="6">
        <f>IFERROR(VLOOKUP(I35,SEMANAS!$B$1:$D$301,2,0),0)</f>
        <v>13</v>
      </c>
      <c r="AC35" s="16">
        <f t="shared" si="2"/>
        <v>13455.89</v>
      </c>
      <c r="AD35" s="10">
        <f>K35-J35+1</f>
        <v>6</v>
      </c>
      <c r="AE35" s="10"/>
      <c r="AF35" s="10">
        <f>IFERROR(VLOOKUP(J35,SEMANAS!$B$1:$D$301,2,0),0)</f>
        <v>16</v>
      </c>
      <c r="AG35" s="10">
        <f>IFERROR(VLOOKUP(K35,SEMANAS!$B$1:$D$301,2,0),0)</f>
        <v>16</v>
      </c>
      <c r="AH35" s="11">
        <f t="shared" si="3"/>
        <v>13455.89</v>
      </c>
      <c r="AI35" s="206" t="str">
        <f>IF(P35&gt;0,"executado",VLOOKUP(D35,'REPLAN - Agilean'!$A$6:$C$127,2,0))</f>
        <v>executado</v>
      </c>
      <c r="AJ35" s="206" t="str">
        <f>IF(P35&gt;0,"executado",VLOOKUP(D35,'REPLAN - Agilean'!$A$6:$C$127,3,0))</f>
        <v>executado</v>
      </c>
      <c r="AK35" s="3">
        <f>IFERROR(VLOOKUP(AI35,SEMANAS!$B$1:$D$301,2,0),0)</f>
        <v>0</v>
      </c>
      <c r="AL35" s="3">
        <f>IFERROR(VLOOKUP(AJ35,SEMANAS!$B$1:$D$301,2,0),0)</f>
        <v>0</v>
      </c>
      <c r="AM35" s="220">
        <f t="shared" si="11"/>
        <v>0</v>
      </c>
      <c r="AN35" s="218">
        <f>IFERROR(VLOOKUP(D35,#REF!,6,0),0)</f>
        <v>0</v>
      </c>
      <c r="AO35" s="218">
        <f>IFERROR(VLOOKUP(D35,#REF!,7,0),0)</f>
        <v>0</v>
      </c>
      <c r="AP35" s="206" t="str">
        <f t="shared" si="12"/>
        <v>desembolsado</v>
      </c>
      <c r="AQ35" s="206" t="str">
        <f t="shared" si="13"/>
        <v>desembolsado</v>
      </c>
    </row>
    <row r="36" spans="1:43" x14ac:dyDescent="0.25">
      <c r="A36" s="20" t="s">
        <v>149</v>
      </c>
      <c r="B36" s="20" t="s">
        <v>67</v>
      </c>
      <c r="C36" s="20" t="s">
        <v>395</v>
      </c>
      <c r="D36" s="20" t="str">
        <f t="shared" si="0"/>
        <v>Reboco InternoPAV2</v>
      </c>
      <c r="E36" s="20" t="s">
        <v>26</v>
      </c>
      <c r="F36" s="20" t="s">
        <v>54</v>
      </c>
      <c r="G36" s="65">
        <v>5</v>
      </c>
      <c r="H36" s="18">
        <v>44522</v>
      </c>
      <c r="I36" s="18">
        <v>44526</v>
      </c>
      <c r="J36" s="17">
        <v>44522</v>
      </c>
      <c r="K36" s="17">
        <v>44526</v>
      </c>
      <c r="L36" s="196">
        <v>984.14</v>
      </c>
      <c r="M36" s="21">
        <v>0</v>
      </c>
      <c r="N36" s="20"/>
      <c r="O36" s="20"/>
      <c r="P36" s="194">
        <v>1</v>
      </c>
      <c r="Q36" s="19" t="s">
        <v>68</v>
      </c>
      <c r="R36" s="19" t="s">
        <v>142</v>
      </c>
      <c r="S36" s="19" t="s">
        <v>150</v>
      </c>
      <c r="T36" s="19" t="s">
        <v>68</v>
      </c>
      <c r="U36" s="19" t="s">
        <v>34</v>
      </c>
      <c r="V36" s="225">
        <v>140.59</v>
      </c>
      <c r="W36" s="19" t="s">
        <v>29</v>
      </c>
      <c r="X36" s="214">
        <f t="shared" si="1"/>
        <v>6.4128107020110659E-4</v>
      </c>
      <c r="Y36" s="7"/>
      <c r="Z36" s="7">
        <v>1</v>
      </c>
      <c r="AA36" s="6">
        <f>IFERROR(VLOOKUP(H36,SEMANAS!$B$1:$D$301,2,0),0)</f>
        <v>15</v>
      </c>
      <c r="AB36" s="6">
        <f>IFERROR(VLOOKUP(I36,SEMANAS!$B$1:$D$301,2,0),0)</f>
        <v>15</v>
      </c>
      <c r="AC36" s="16">
        <f t="shared" si="2"/>
        <v>984.14</v>
      </c>
      <c r="AD36" s="10">
        <f>K36-J36+1</f>
        <v>5</v>
      </c>
      <c r="AE36" s="10"/>
      <c r="AF36" s="10">
        <f>IFERROR(VLOOKUP(J36,SEMANAS!$B$1:$D$301,2,0),0)</f>
        <v>15</v>
      </c>
      <c r="AG36" s="10">
        <f>IFERROR(VLOOKUP(K36,SEMANAS!$B$1:$D$301,2,0),0)</f>
        <v>15</v>
      </c>
      <c r="AH36" s="11">
        <f t="shared" si="3"/>
        <v>984.14</v>
      </c>
      <c r="AI36" s="206" t="str">
        <f>IF(P36&gt;0,"executado",VLOOKUP(D36,'REPLAN - Agilean'!$A$6:$C$127,2,0))</f>
        <v>executado</v>
      </c>
      <c r="AJ36" s="206" t="str">
        <f>IF(P36&gt;0,"executado",VLOOKUP(D36,'REPLAN - Agilean'!$A$6:$C$127,3,0))</f>
        <v>executado</v>
      </c>
      <c r="AK36" s="3">
        <f>IFERROR(VLOOKUP(AI36,SEMANAS!$B$1:$D$301,2,0),0)</f>
        <v>0</v>
      </c>
      <c r="AL36" s="3">
        <f>IFERROR(VLOOKUP(AJ36,SEMANAS!$B$1:$D$301,2,0),0)</f>
        <v>0</v>
      </c>
      <c r="AM36" s="220">
        <f t="shared" si="11"/>
        <v>0</v>
      </c>
      <c r="AN36" s="218">
        <f>IFERROR(VLOOKUP(D36,#REF!,6,0),0)</f>
        <v>0</v>
      </c>
      <c r="AO36" s="218">
        <f>IFERROR(VLOOKUP(D36,#REF!,7,0),0)</f>
        <v>0</v>
      </c>
      <c r="AP36" s="206" t="str">
        <f t="shared" si="12"/>
        <v>desembolsado</v>
      </c>
      <c r="AQ36" s="206" t="str">
        <f t="shared" si="13"/>
        <v>desembolsado</v>
      </c>
    </row>
    <row r="37" spans="1:43" x14ac:dyDescent="0.25">
      <c r="A37" s="20" t="s">
        <v>151</v>
      </c>
      <c r="B37" s="20" t="s">
        <v>71</v>
      </c>
      <c r="C37" s="20" t="s">
        <v>396</v>
      </c>
      <c r="D37" s="20" t="str">
        <f t="shared" si="0"/>
        <v>Shaft PAV2</v>
      </c>
      <c r="E37" s="20" t="s">
        <v>26</v>
      </c>
      <c r="F37" s="20" t="s">
        <v>54</v>
      </c>
      <c r="G37" s="65">
        <v>2</v>
      </c>
      <c r="H37" s="18">
        <v>44552</v>
      </c>
      <c r="I37" s="18">
        <v>44554</v>
      </c>
      <c r="J37" s="17">
        <v>44552</v>
      </c>
      <c r="K37" s="17">
        <v>44554</v>
      </c>
      <c r="L37" s="196">
        <v>3159.37</v>
      </c>
      <c r="M37" s="21">
        <v>0</v>
      </c>
      <c r="N37" s="20"/>
      <c r="O37" s="20"/>
      <c r="P37" s="194">
        <v>1</v>
      </c>
      <c r="Q37" s="19" t="s">
        <v>72</v>
      </c>
      <c r="R37" s="19" t="s">
        <v>142</v>
      </c>
      <c r="S37" s="19" t="s">
        <v>152</v>
      </c>
      <c r="T37" s="19" t="s">
        <v>72</v>
      </c>
      <c r="U37" s="19" t="s">
        <v>34</v>
      </c>
      <c r="V37" s="225">
        <v>10.69</v>
      </c>
      <c r="W37" s="19" t="s">
        <v>29</v>
      </c>
      <c r="X37" s="214">
        <f t="shared" si="1"/>
        <v>2.0586950787096045E-3</v>
      </c>
      <c r="Y37" s="7"/>
      <c r="Z37" s="7">
        <v>1</v>
      </c>
      <c r="AA37" s="6">
        <f>IFERROR(VLOOKUP(H37,SEMANAS!$B$1:$D$301,2,0),0)</f>
        <v>19</v>
      </c>
      <c r="AB37" s="6">
        <f>IFERROR(VLOOKUP(I37,SEMANAS!$B$1:$D$301,2,0),0)</f>
        <v>19</v>
      </c>
      <c r="AC37" s="16">
        <f t="shared" si="2"/>
        <v>3159.37</v>
      </c>
      <c r="AD37" s="10">
        <f>K37-J37+1</f>
        <v>3</v>
      </c>
      <c r="AE37" s="10"/>
      <c r="AF37" s="10">
        <f>IFERROR(VLOOKUP(J37,SEMANAS!$B$1:$D$301,2,0),0)</f>
        <v>19</v>
      </c>
      <c r="AG37" s="10">
        <f>IFERROR(VLOOKUP(K37,SEMANAS!$B$1:$D$301,2,0),0)</f>
        <v>19</v>
      </c>
      <c r="AH37" s="11">
        <f t="shared" si="3"/>
        <v>3159.37</v>
      </c>
      <c r="AI37" s="206" t="str">
        <f>IF(P37&gt;0,"executado",VLOOKUP(D37,'REPLAN - Agilean'!$A$6:$C$127,2,0))</f>
        <v>executado</v>
      </c>
      <c r="AJ37" s="206" t="str">
        <f>IF(P37&gt;0,"executado",VLOOKUP(D37,'REPLAN - Agilean'!$A$6:$C$127,3,0))</f>
        <v>executado</v>
      </c>
      <c r="AK37" s="3">
        <f>IFERROR(VLOOKUP(AI37,SEMANAS!$B$1:$D$301,2,0),0)</f>
        <v>0</v>
      </c>
      <c r="AL37" s="3">
        <f>IFERROR(VLOOKUP(AJ37,SEMANAS!$B$1:$D$301,2,0),0)</f>
        <v>0</v>
      </c>
      <c r="AM37" s="220">
        <f t="shared" si="11"/>
        <v>0</v>
      </c>
      <c r="AN37" s="218">
        <f>IFERROR(VLOOKUP(D37,#REF!,6,0),0)</f>
        <v>0</v>
      </c>
      <c r="AO37" s="218">
        <f>IFERROR(VLOOKUP(D37,#REF!,7,0),0)</f>
        <v>0</v>
      </c>
      <c r="AP37" s="206" t="str">
        <f t="shared" si="12"/>
        <v>desembolsado</v>
      </c>
      <c r="AQ37" s="206" t="str">
        <f t="shared" si="13"/>
        <v>desembolsado</v>
      </c>
    </row>
    <row r="38" spans="1:43" x14ac:dyDescent="0.25">
      <c r="A38" s="20" t="s">
        <v>153</v>
      </c>
      <c r="B38" s="20" t="s">
        <v>75</v>
      </c>
      <c r="C38" s="20" t="s">
        <v>397</v>
      </c>
      <c r="D38" s="20" t="str">
        <f t="shared" si="0"/>
        <v>ImpermeabilizaçãoPAV2</v>
      </c>
      <c r="E38" s="20" t="s">
        <v>26</v>
      </c>
      <c r="F38" s="20" t="s">
        <v>54</v>
      </c>
      <c r="G38" s="65">
        <v>5</v>
      </c>
      <c r="H38" s="18">
        <v>44559</v>
      </c>
      <c r="I38" s="18">
        <v>44566</v>
      </c>
      <c r="J38" s="17"/>
      <c r="K38" s="17"/>
      <c r="L38" s="196">
        <v>239.07</v>
      </c>
      <c r="M38" s="21">
        <v>0</v>
      </c>
      <c r="N38" s="20"/>
      <c r="O38" s="20"/>
      <c r="P38" s="194">
        <v>0</v>
      </c>
      <c r="Q38" s="19" t="s">
        <v>76</v>
      </c>
      <c r="R38" s="19" t="s">
        <v>142</v>
      </c>
      <c r="S38" s="19" t="s">
        <v>154</v>
      </c>
      <c r="T38" s="19" t="s">
        <v>76</v>
      </c>
      <c r="U38" s="19" t="s">
        <v>34</v>
      </c>
      <c r="V38" s="225">
        <v>6.08</v>
      </c>
      <c r="W38" s="19" t="s">
        <v>29</v>
      </c>
      <c r="X38" s="214">
        <f t="shared" si="1"/>
        <v>1.5578176423372545E-4</v>
      </c>
      <c r="Y38" s="7"/>
      <c r="Z38" s="7">
        <v>0.6</v>
      </c>
      <c r="AA38" s="6">
        <f>IFERROR(VLOOKUP(H38,SEMANAS!$B$1:$D$301,2,0),0)</f>
        <v>20</v>
      </c>
      <c r="AB38" s="6">
        <f>IFERROR(VLOOKUP(I38,SEMANAS!$B$1:$D$301,2,0),0)</f>
        <v>21</v>
      </c>
      <c r="AC38" s="16">
        <f t="shared" si="2"/>
        <v>143.44199999999998</v>
      </c>
      <c r="AD38" s="10"/>
      <c r="AE38" s="10"/>
      <c r="AF38" s="10">
        <f>IFERROR(VLOOKUP(J38,SEMANAS!$B$1:$D$301,2,0),0)</f>
        <v>0</v>
      </c>
      <c r="AG38" s="10">
        <f>IFERROR(VLOOKUP(K38,SEMANAS!$B$1:$D$301,2,0),0)</f>
        <v>0</v>
      </c>
      <c r="AH38" s="11">
        <f t="shared" si="3"/>
        <v>0</v>
      </c>
      <c r="AI38" s="206">
        <f>IF(P38&gt;0,"executado",VLOOKUP(D38,'REPLAN - Agilean'!$A$6:$C$127,2,0))</f>
        <v>44567</v>
      </c>
      <c r="AJ38" s="206">
        <f>IF(P38&gt;0,"executado",VLOOKUP(D38,'REPLAN - Agilean'!$A$6:$C$127,3,0))</f>
        <v>44573</v>
      </c>
      <c r="AK38" s="3">
        <f>IFERROR(VLOOKUP(AI38,SEMANAS!$B$1:$D$301,2,0),0)</f>
        <v>21</v>
      </c>
      <c r="AL38" s="3">
        <f>IFERROR(VLOOKUP(AJ38,SEMANAS!$B$1:$D$301,2,0),0)</f>
        <v>22</v>
      </c>
      <c r="AM38" s="220">
        <f t="shared" si="11"/>
        <v>239.07</v>
      </c>
      <c r="AN38" s="218">
        <f>IFERROR(VLOOKUP(D38,#REF!,6,0),0)</f>
        <v>0</v>
      </c>
      <c r="AO38" s="218">
        <f>IFERROR(VLOOKUP(D38,#REF!,7,0),0)</f>
        <v>0</v>
      </c>
      <c r="AP38" s="206">
        <f t="shared" si="12"/>
        <v>44552</v>
      </c>
      <c r="AQ38" s="206">
        <f t="shared" si="13"/>
        <v>44582</v>
      </c>
    </row>
    <row r="39" spans="1:43" x14ac:dyDescent="0.25">
      <c r="A39" s="20" t="s">
        <v>155</v>
      </c>
      <c r="B39" s="20" t="s">
        <v>79</v>
      </c>
      <c r="C39" s="20" t="s">
        <v>398</v>
      </c>
      <c r="D39" s="20" t="str">
        <f t="shared" si="0"/>
        <v>CerâmicaPAV2</v>
      </c>
      <c r="E39" s="20" t="s">
        <v>26</v>
      </c>
      <c r="F39" s="20" t="s">
        <v>54</v>
      </c>
      <c r="G39" s="65">
        <v>5</v>
      </c>
      <c r="H39" s="18">
        <v>44566</v>
      </c>
      <c r="I39" s="18">
        <v>44573</v>
      </c>
      <c r="J39" s="17"/>
      <c r="K39" s="17"/>
      <c r="L39" s="196">
        <v>20435.66</v>
      </c>
      <c r="M39" s="21">
        <v>0</v>
      </c>
      <c r="N39" s="20"/>
      <c r="O39" s="20"/>
      <c r="P39" s="194">
        <v>0</v>
      </c>
      <c r="Q39" s="19" t="s">
        <v>80</v>
      </c>
      <c r="R39" s="19" t="s">
        <v>142</v>
      </c>
      <c r="S39" s="19" t="s">
        <v>156</v>
      </c>
      <c r="T39" s="19" t="s">
        <v>80</v>
      </c>
      <c r="U39" s="19" t="s">
        <v>34</v>
      </c>
      <c r="V39" s="225">
        <v>86.26</v>
      </c>
      <c r="W39" s="19" t="s">
        <v>29</v>
      </c>
      <c r="X39" s="214">
        <f t="shared" si="1"/>
        <v>1.3316196796254544E-2</v>
      </c>
      <c r="Y39" s="6"/>
      <c r="Z39" s="6"/>
      <c r="AA39" s="6">
        <f>IFERROR(VLOOKUP(H39,SEMANAS!$B$1:$D$301,2,0),0)</f>
        <v>21</v>
      </c>
      <c r="AB39" s="6">
        <f>IFERROR(VLOOKUP(I39,SEMANAS!$B$1:$D$301,2,0),0)</f>
        <v>22</v>
      </c>
      <c r="AC39" s="16">
        <f t="shared" si="2"/>
        <v>0</v>
      </c>
      <c r="AD39" s="10"/>
      <c r="AE39" s="10"/>
      <c r="AF39" s="10">
        <f>IFERROR(VLOOKUP(J39,SEMANAS!$B$1:$D$301,2,0),0)</f>
        <v>0</v>
      </c>
      <c r="AG39" s="10">
        <f>IFERROR(VLOOKUP(K39,SEMANAS!$B$1:$D$301,2,0),0)</f>
        <v>0</v>
      </c>
      <c r="AH39" s="11">
        <f t="shared" si="3"/>
        <v>0</v>
      </c>
      <c r="AI39" s="206">
        <f>IF(P39&gt;0,"executado",VLOOKUP(D39,'REPLAN - Agilean'!$A$6:$C$127,2,0))</f>
        <v>44574</v>
      </c>
      <c r="AJ39" s="206">
        <f>IF(P39&gt;0,"executado",VLOOKUP(D39,'REPLAN - Agilean'!$A$6:$C$127,3,0))</f>
        <v>44580</v>
      </c>
      <c r="AK39" s="3">
        <f>IFERROR(VLOOKUP(AI39,SEMANAS!$B$1:$D$301,2,0),0)</f>
        <v>22</v>
      </c>
      <c r="AL39" s="3">
        <f>IFERROR(VLOOKUP(AJ39,SEMANAS!$B$1:$D$301,2,0),0)</f>
        <v>23</v>
      </c>
      <c r="AM39" s="220">
        <f t="shared" si="11"/>
        <v>20435.66</v>
      </c>
      <c r="AN39" s="218">
        <f>IFERROR(VLOOKUP(D39,#REF!,6,0),0)</f>
        <v>0</v>
      </c>
      <c r="AO39" s="218">
        <f>IFERROR(VLOOKUP(D39,#REF!,7,0),0)</f>
        <v>0</v>
      </c>
      <c r="AP39" s="206">
        <f t="shared" si="12"/>
        <v>44559</v>
      </c>
      <c r="AQ39" s="206">
        <f t="shared" si="13"/>
        <v>44589</v>
      </c>
    </row>
    <row r="40" spans="1:43" x14ac:dyDescent="0.25">
      <c r="A40" s="20" t="s">
        <v>157</v>
      </c>
      <c r="B40" s="20" t="s">
        <v>83</v>
      </c>
      <c r="C40" s="20" t="s">
        <v>399</v>
      </c>
      <c r="D40" s="20" t="str">
        <f t="shared" si="0"/>
        <v>Gesso LisoPAV2</v>
      </c>
      <c r="E40" s="20" t="s">
        <v>26</v>
      </c>
      <c r="F40" s="20" t="s">
        <v>54</v>
      </c>
      <c r="G40" s="65">
        <v>5</v>
      </c>
      <c r="H40" s="18">
        <v>44573</v>
      </c>
      <c r="I40" s="18">
        <v>44580</v>
      </c>
      <c r="J40" s="17"/>
      <c r="K40" s="17"/>
      <c r="L40" s="196">
        <v>6811.28</v>
      </c>
      <c r="M40" s="21">
        <v>0</v>
      </c>
      <c r="N40" s="20"/>
      <c r="O40" s="20"/>
      <c r="P40" s="194">
        <v>0</v>
      </c>
      <c r="Q40" s="19" t="s">
        <v>84</v>
      </c>
      <c r="R40" s="19" t="s">
        <v>142</v>
      </c>
      <c r="S40" s="19" t="s">
        <v>158</v>
      </c>
      <c r="T40" s="19" t="s">
        <v>86</v>
      </c>
      <c r="U40" s="19" t="s">
        <v>34</v>
      </c>
      <c r="V40" s="225">
        <v>447.45</v>
      </c>
      <c r="W40" s="19" t="s">
        <v>29</v>
      </c>
      <c r="X40" s="214">
        <f t="shared" si="1"/>
        <v>4.4383369518964716E-3</v>
      </c>
      <c r="Y40" s="6"/>
      <c r="Z40" s="6"/>
      <c r="AA40" s="6">
        <f>IFERROR(VLOOKUP(H40,SEMANAS!$B$1:$D$301,2,0),0)</f>
        <v>22</v>
      </c>
      <c r="AB40" s="6">
        <f>IFERROR(VLOOKUP(I40,SEMANAS!$B$1:$D$301,2,0),0)</f>
        <v>23</v>
      </c>
      <c r="AC40" s="16">
        <f t="shared" si="2"/>
        <v>0</v>
      </c>
      <c r="AD40" s="10"/>
      <c r="AE40" s="10"/>
      <c r="AF40" s="10">
        <f>IFERROR(VLOOKUP(J40,SEMANAS!$B$1:$D$301,2,0),0)</f>
        <v>0</v>
      </c>
      <c r="AG40" s="10">
        <f>IFERROR(VLOOKUP(K40,SEMANAS!$B$1:$D$301,2,0),0)</f>
        <v>0</v>
      </c>
      <c r="AH40" s="11">
        <f t="shared" si="3"/>
        <v>0</v>
      </c>
      <c r="AI40" s="206">
        <f>IF(P40&gt;0,"executado",VLOOKUP(D40,'REPLAN - Agilean'!$A$6:$C$127,2,0))</f>
        <v>44581</v>
      </c>
      <c r="AJ40" s="206">
        <f>IF(P40&gt;0,"executado",VLOOKUP(D40,'REPLAN - Agilean'!$A$6:$C$127,3,0))</f>
        <v>44587</v>
      </c>
      <c r="AK40" s="3">
        <f>IFERROR(VLOOKUP(AI40,SEMANAS!$B$1:$D$301,2,0),0)</f>
        <v>23</v>
      </c>
      <c r="AL40" s="3">
        <f>IFERROR(VLOOKUP(AJ40,SEMANAS!$B$1:$D$301,2,0),0)</f>
        <v>24</v>
      </c>
      <c r="AM40" s="220">
        <f t="shared" si="11"/>
        <v>6811.28</v>
      </c>
      <c r="AN40" s="218">
        <f>IFERROR(VLOOKUP(D40,#REF!,6,0),0)</f>
        <v>0</v>
      </c>
      <c r="AO40" s="218">
        <f>IFERROR(VLOOKUP(D40,#REF!,7,0),0)</f>
        <v>0</v>
      </c>
      <c r="AP40" s="206">
        <f t="shared" si="12"/>
        <v>44566</v>
      </c>
      <c r="AQ40" s="206">
        <f t="shared" si="13"/>
        <v>44596</v>
      </c>
    </row>
    <row r="41" spans="1:43" x14ac:dyDescent="0.25">
      <c r="A41" s="20" t="s">
        <v>159</v>
      </c>
      <c r="B41" s="20" t="s">
        <v>88</v>
      </c>
      <c r="C41" s="20" t="s">
        <v>400</v>
      </c>
      <c r="D41" s="20" t="str">
        <f t="shared" si="0"/>
        <v>Esquadria PAV2</v>
      </c>
      <c r="E41" s="20" t="s">
        <v>26</v>
      </c>
      <c r="F41" s="20" t="s">
        <v>54</v>
      </c>
      <c r="G41" s="65">
        <v>5</v>
      </c>
      <c r="H41" s="18">
        <v>44580</v>
      </c>
      <c r="I41" s="18">
        <v>44587</v>
      </c>
      <c r="J41" s="17"/>
      <c r="K41" s="17"/>
      <c r="L41" s="196">
        <v>26500</v>
      </c>
      <c r="M41" s="21">
        <v>0</v>
      </c>
      <c r="N41" s="20"/>
      <c r="O41" s="20"/>
      <c r="P41" s="194">
        <v>0</v>
      </c>
      <c r="Q41" s="19" t="s">
        <v>89</v>
      </c>
      <c r="R41" s="19" t="s">
        <v>142</v>
      </c>
      <c r="S41" s="19" t="s">
        <v>160</v>
      </c>
      <c r="T41" s="19" t="s">
        <v>89</v>
      </c>
      <c r="U41" s="19" t="s">
        <v>34</v>
      </c>
      <c r="V41" s="225">
        <v>21</v>
      </c>
      <c r="W41" s="19" t="s">
        <v>91</v>
      </c>
      <c r="X41" s="214">
        <f t="shared" si="1"/>
        <v>1.7267815920833748E-2</v>
      </c>
      <c r="Y41" s="6"/>
      <c r="Z41" s="6"/>
      <c r="AA41" s="6">
        <f>IFERROR(VLOOKUP(H41,SEMANAS!$B$1:$D$301,2,0),0)</f>
        <v>23</v>
      </c>
      <c r="AB41" s="6">
        <f>IFERROR(VLOOKUP(I41,SEMANAS!$B$1:$D$301,2,0),0)</f>
        <v>24</v>
      </c>
      <c r="AC41" s="16">
        <f t="shared" si="2"/>
        <v>0</v>
      </c>
      <c r="AD41" s="10"/>
      <c r="AE41" s="10"/>
      <c r="AF41" s="10">
        <f>IFERROR(VLOOKUP(J41,SEMANAS!$B$1:$D$301,2,0),0)</f>
        <v>0</v>
      </c>
      <c r="AG41" s="10">
        <f>IFERROR(VLOOKUP(K41,SEMANAS!$B$1:$D$301,2,0),0)</f>
        <v>0</v>
      </c>
      <c r="AH41" s="11">
        <f t="shared" si="3"/>
        <v>0</v>
      </c>
      <c r="AI41" s="206">
        <f>IF(P41&gt;0,"executado",VLOOKUP(D41,'REPLAN - Agilean'!$A$6:$C$127,2,0))</f>
        <v>44593</v>
      </c>
      <c r="AJ41" s="206">
        <f>IF(P41&gt;0,"executado",VLOOKUP(D41,'REPLAN - Agilean'!$A$6:$C$127,3,0))</f>
        <v>44595</v>
      </c>
      <c r="AK41" s="3">
        <f>IFERROR(VLOOKUP(AI41,SEMANAS!$B$1:$D$301,2,0),0)</f>
        <v>25</v>
      </c>
      <c r="AL41" s="3">
        <f>IFERROR(VLOOKUP(AJ41,SEMANAS!$B$1:$D$301,2,0),0)</f>
        <v>25</v>
      </c>
      <c r="AM41" s="220">
        <f t="shared" si="11"/>
        <v>26500</v>
      </c>
      <c r="AN41" s="218">
        <f>IFERROR(VLOOKUP(D41,#REF!,6,0),0)</f>
        <v>0</v>
      </c>
      <c r="AO41" s="218">
        <f>IFERROR(VLOOKUP(D41,#REF!,7,0),0)</f>
        <v>0</v>
      </c>
      <c r="AP41" s="206">
        <f t="shared" si="12"/>
        <v>44578</v>
      </c>
      <c r="AQ41" s="206">
        <f t="shared" si="13"/>
        <v>44608</v>
      </c>
    </row>
    <row r="42" spans="1:43" x14ac:dyDescent="0.25">
      <c r="A42" s="20" t="s">
        <v>161</v>
      </c>
      <c r="B42" s="20" t="s">
        <v>93</v>
      </c>
      <c r="C42" s="20" t="s">
        <v>401</v>
      </c>
      <c r="D42" s="20" t="str">
        <f t="shared" si="0"/>
        <v>FiaçãoPAV2</v>
      </c>
      <c r="E42" s="20" t="s">
        <v>26</v>
      </c>
      <c r="F42" s="20" t="s">
        <v>54</v>
      </c>
      <c r="G42" s="65">
        <v>5</v>
      </c>
      <c r="H42" s="18">
        <v>44587</v>
      </c>
      <c r="I42" s="18">
        <v>44594</v>
      </c>
      <c r="J42" s="17"/>
      <c r="K42" s="17"/>
      <c r="L42" s="196">
        <v>5134.5200000000004</v>
      </c>
      <c r="M42" s="21">
        <v>0</v>
      </c>
      <c r="N42" s="20"/>
      <c r="O42" s="20"/>
      <c r="P42" s="194">
        <v>0</v>
      </c>
      <c r="Q42" s="19" t="s">
        <v>84</v>
      </c>
      <c r="R42" s="19" t="s">
        <v>142</v>
      </c>
      <c r="S42" s="19" t="s">
        <v>158</v>
      </c>
      <c r="T42" s="19" t="s">
        <v>94</v>
      </c>
      <c r="U42" s="19" t="s">
        <v>34</v>
      </c>
      <c r="V42" s="225">
        <v>4</v>
      </c>
      <c r="W42" s="19" t="s">
        <v>95</v>
      </c>
      <c r="X42" s="214">
        <f t="shared" si="1"/>
        <v>3.3457338189373321E-3</v>
      </c>
      <c r="Y42" s="6"/>
      <c r="Z42" s="6"/>
      <c r="AA42" s="6">
        <f>IFERROR(VLOOKUP(H42,SEMANAS!$B$1:$D$301,2,0),0)</f>
        <v>24</v>
      </c>
      <c r="AB42" s="6">
        <f>IFERROR(VLOOKUP(I42,SEMANAS!$B$1:$D$301,2,0),0)</f>
        <v>25</v>
      </c>
      <c r="AC42" s="16">
        <f t="shared" si="2"/>
        <v>0</v>
      </c>
      <c r="AD42" s="10"/>
      <c r="AE42" s="10"/>
      <c r="AF42" s="10">
        <f>IFERROR(VLOOKUP(J42,SEMANAS!$B$1:$D$301,2,0),0)</f>
        <v>0</v>
      </c>
      <c r="AG42" s="10">
        <f>IFERROR(VLOOKUP(K42,SEMANAS!$B$1:$D$301,2,0),0)</f>
        <v>0</v>
      </c>
      <c r="AH42" s="11">
        <f t="shared" si="3"/>
        <v>0</v>
      </c>
      <c r="AI42" s="206">
        <f>IF(P42&gt;0,"executado",VLOOKUP(D42,'REPLAN - Agilean'!$A$6:$C$127,2,0))</f>
        <v>44600</v>
      </c>
      <c r="AJ42" s="206">
        <f>IF(P42&gt;0,"executado",VLOOKUP(D42,'REPLAN - Agilean'!$A$6:$C$127,3,0))</f>
        <v>44606</v>
      </c>
      <c r="AK42" s="3">
        <f>IFERROR(VLOOKUP(AI42,SEMANAS!$B$1:$D$301,2,0),0)</f>
        <v>26</v>
      </c>
      <c r="AL42" s="3">
        <f>IFERROR(VLOOKUP(AJ42,SEMANAS!$B$1:$D$301,2,0),0)</f>
        <v>27</v>
      </c>
      <c r="AM42" s="220">
        <f t="shared" si="11"/>
        <v>5134.5200000000004</v>
      </c>
      <c r="AN42" s="218">
        <f>IFERROR(VLOOKUP(D42,#REF!,6,0),0)</f>
        <v>0</v>
      </c>
      <c r="AO42" s="218">
        <f>IFERROR(VLOOKUP(D42,#REF!,7,0),0)</f>
        <v>0</v>
      </c>
      <c r="AP42" s="206">
        <f t="shared" si="12"/>
        <v>44585</v>
      </c>
      <c r="AQ42" s="206">
        <f t="shared" si="13"/>
        <v>44615</v>
      </c>
    </row>
    <row r="43" spans="1:43" x14ac:dyDescent="0.25">
      <c r="A43" s="20" t="s">
        <v>162</v>
      </c>
      <c r="B43" s="20" t="s">
        <v>97</v>
      </c>
      <c r="C43" s="20" t="s">
        <v>402</v>
      </c>
      <c r="D43" s="20" t="str">
        <f t="shared" si="0"/>
        <v>ForroPAV2</v>
      </c>
      <c r="E43" s="20" t="s">
        <v>26</v>
      </c>
      <c r="F43" s="20" t="s">
        <v>54</v>
      </c>
      <c r="G43" s="65">
        <v>5</v>
      </c>
      <c r="H43" s="18">
        <v>44594</v>
      </c>
      <c r="I43" s="18">
        <v>44601</v>
      </c>
      <c r="J43" s="17"/>
      <c r="K43" s="17"/>
      <c r="L43" s="196">
        <v>2297.4899999999998</v>
      </c>
      <c r="M43" s="21">
        <v>0</v>
      </c>
      <c r="N43" s="20"/>
      <c r="O43" s="20"/>
      <c r="P43" s="194">
        <v>0</v>
      </c>
      <c r="Q43" s="19" t="s">
        <v>98</v>
      </c>
      <c r="R43" s="19" t="s">
        <v>142</v>
      </c>
      <c r="S43" s="19" t="s">
        <v>163</v>
      </c>
      <c r="T43" s="19" t="s">
        <v>98</v>
      </c>
      <c r="U43" s="19" t="s">
        <v>34</v>
      </c>
      <c r="V43" s="225">
        <v>29.29</v>
      </c>
      <c r="W43" s="19" t="s">
        <v>29</v>
      </c>
      <c r="X43" s="214">
        <f t="shared" si="1"/>
        <v>1.4970805433945783E-3</v>
      </c>
      <c r="Y43" s="6"/>
      <c r="Z43" s="6"/>
      <c r="AA43" s="6">
        <f>IFERROR(VLOOKUP(H43,SEMANAS!$B$1:$D$301,2,0),0)</f>
        <v>25</v>
      </c>
      <c r="AB43" s="6">
        <f>IFERROR(VLOOKUP(I43,SEMANAS!$B$1:$D$301,2,0),0)</f>
        <v>26</v>
      </c>
      <c r="AC43" s="16">
        <f t="shared" si="2"/>
        <v>0</v>
      </c>
      <c r="AD43" s="10"/>
      <c r="AE43" s="10"/>
      <c r="AF43" s="10">
        <f>IFERROR(VLOOKUP(J43,SEMANAS!$B$1:$D$301,2,0),0)</f>
        <v>0</v>
      </c>
      <c r="AG43" s="10">
        <f>IFERROR(VLOOKUP(K43,SEMANAS!$B$1:$D$301,2,0),0)</f>
        <v>0</v>
      </c>
      <c r="AH43" s="11">
        <f t="shared" si="3"/>
        <v>0</v>
      </c>
      <c r="AI43" s="206">
        <f>IF(P43&gt;0,"executado",VLOOKUP(D43,'REPLAN - Agilean'!$A$6:$C$127,2,0))</f>
        <v>44607</v>
      </c>
      <c r="AJ43" s="206">
        <f>IF(P43&gt;0,"executado",VLOOKUP(D43,'REPLAN - Agilean'!$A$6:$C$127,3,0))</f>
        <v>44613</v>
      </c>
      <c r="AK43" s="3">
        <f>IFERROR(VLOOKUP(AI43,SEMANAS!$B$1:$D$301,2,0),0)</f>
        <v>27</v>
      </c>
      <c r="AL43" s="3">
        <f>IFERROR(VLOOKUP(AJ43,SEMANAS!$B$1:$D$301,2,0),0)</f>
        <v>28</v>
      </c>
      <c r="AM43" s="220">
        <f t="shared" si="11"/>
        <v>2297.4899999999998</v>
      </c>
      <c r="AN43" s="218">
        <f>IFERROR(VLOOKUP(D43,#REF!,6,0),0)</f>
        <v>0</v>
      </c>
      <c r="AO43" s="218">
        <f>IFERROR(VLOOKUP(D43,#REF!,7,0),0)</f>
        <v>0</v>
      </c>
      <c r="AP43" s="206">
        <f t="shared" si="12"/>
        <v>44592</v>
      </c>
      <c r="AQ43" s="206">
        <f t="shared" si="13"/>
        <v>44622</v>
      </c>
    </row>
    <row r="44" spans="1:43" x14ac:dyDescent="0.25">
      <c r="A44" s="20" t="s">
        <v>164</v>
      </c>
      <c r="B44" s="20" t="s">
        <v>101</v>
      </c>
      <c r="C44" s="20" t="s">
        <v>403</v>
      </c>
      <c r="D44" s="20" t="str">
        <f t="shared" si="0"/>
        <v>Rev. da CirculaçãoPAV2</v>
      </c>
      <c r="E44" s="20" t="s">
        <v>26</v>
      </c>
      <c r="F44" s="20" t="s">
        <v>54</v>
      </c>
      <c r="G44" s="65">
        <v>5</v>
      </c>
      <c r="H44" s="18">
        <v>44601</v>
      </c>
      <c r="I44" s="18">
        <v>44608</v>
      </c>
      <c r="J44" s="17"/>
      <c r="K44" s="17"/>
      <c r="L44" s="196">
        <v>3617.43</v>
      </c>
      <c r="M44" s="21">
        <v>0</v>
      </c>
      <c r="N44" s="20"/>
      <c r="O44" s="20"/>
      <c r="P44" s="194">
        <v>0</v>
      </c>
      <c r="Q44" s="19" t="s">
        <v>102</v>
      </c>
      <c r="R44" s="19" t="s">
        <v>142</v>
      </c>
      <c r="S44" s="19" t="s">
        <v>165</v>
      </c>
      <c r="T44" s="19" t="s">
        <v>102</v>
      </c>
      <c r="U44" s="19" t="s">
        <v>34</v>
      </c>
      <c r="V44" s="225">
        <v>22.5</v>
      </c>
      <c r="W44" s="19" t="s">
        <v>29</v>
      </c>
      <c r="X44" s="214">
        <f t="shared" si="1"/>
        <v>2.3571741640189292E-3</v>
      </c>
      <c r="Y44" s="6"/>
      <c r="Z44" s="6"/>
      <c r="AA44" s="6">
        <f>IFERROR(VLOOKUP(H44,SEMANAS!$B$1:$D$301,2,0),0)</f>
        <v>26</v>
      </c>
      <c r="AB44" s="6">
        <f>IFERROR(VLOOKUP(I44,SEMANAS!$B$1:$D$301,2,0),0)</f>
        <v>27</v>
      </c>
      <c r="AC44" s="16">
        <f t="shared" si="2"/>
        <v>0</v>
      </c>
      <c r="AD44" s="10"/>
      <c r="AE44" s="10"/>
      <c r="AF44" s="10">
        <f>IFERROR(VLOOKUP(J44,SEMANAS!$B$1:$D$301,2,0),0)</f>
        <v>0</v>
      </c>
      <c r="AG44" s="10">
        <f>IFERROR(VLOOKUP(K44,SEMANAS!$B$1:$D$301,2,0),0)</f>
        <v>0</v>
      </c>
      <c r="AH44" s="11">
        <f t="shared" si="3"/>
        <v>0</v>
      </c>
      <c r="AI44" s="206">
        <f>IF(P44&gt;0,"executado",VLOOKUP(D44,'REPLAN - Agilean'!$A$6:$C$127,2,0))</f>
        <v>44614</v>
      </c>
      <c r="AJ44" s="206">
        <f>IF(P44&gt;0,"executado",VLOOKUP(D44,'REPLAN - Agilean'!$A$6:$C$127,3,0))</f>
        <v>44620</v>
      </c>
      <c r="AK44" s="3">
        <f>IFERROR(VLOOKUP(AI44,SEMANAS!$B$1:$D$301,2,0),0)</f>
        <v>28</v>
      </c>
      <c r="AL44" s="3">
        <f>IFERROR(VLOOKUP(AJ44,SEMANAS!$B$1:$D$301,2,0),0)</f>
        <v>29</v>
      </c>
      <c r="AM44" s="220">
        <f t="shared" si="11"/>
        <v>3617.43</v>
      </c>
      <c r="AN44" s="218">
        <f>IFERROR(VLOOKUP(D44,#REF!,6,0),0)</f>
        <v>0</v>
      </c>
      <c r="AO44" s="218">
        <f>IFERROR(VLOOKUP(D44,#REF!,7,0),0)</f>
        <v>0</v>
      </c>
      <c r="AP44" s="206">
        <f t="shared" si="12"/>
        <v>44599</v>
      </c>
      <c r="AQ44" s="206">
        <f t="shared" si="13"/>
        <v>44629</v>
      </c>
    </row>
    <row r="45" spans="1:43" x14ac:dyDescent="0.25">
      <c r="A45" s="20" t="s">
        <v>166</v>
      </c>
      <c r="B45" s="20" t="s">
        <v>105</v>
      </c>
      <c r="C45" s="20" t="s">
        <v>404</v>
      </c>
      <c r="D45" s="20" t="str">
        <f t="shared" si="0"/>
        <v>Disjuntores e CDPAV2</v>
      </c>
      <c r="E45" s="20" t="s">
        <v>26</v>
      </c>
      <c r="F45" s="20" t="s">
        <v>54</v>
      </c>
      <c r="G45" s="65">
        <v>2</v>
      </c>
      <c r="H45" s="18">
        <v>44608</v>
      </c>
      <c r="I45" s="18">
        <v>44610</v>
      </c>
      <c r="J45" s="17"/>
      <c r="K45" s="17"/>
      <c r="L45" s="196">
        <v>1400</v>
      </c>
      <c r="M45" s="21">
        <v>0</v>
      </c>
      <c r="N45" s="20"/>
      <c r="O45" s="20"/>
      <c r="P45" s="194">
        <v>0</v>
      </c>
      <c r="Q45" s="19" t="s">
        <v>106</v>
      </c>
      <c r="R45" s="19" t="s">
        <v>142</v>
      </c>
      <c r="S45" s="19" t="s">
        <v>167</v>
      </c>
      <c r="T45" s="19" t="s">
        <v>106</v>
      </c>
      <c r="U45" s="19" t="s">
        <v>34</v>
      </c>
      <c r="V45" s="225">
        <v>4</v>
      </c>
      <c r="W45" s="19" t="s">
        <v>95</v>
      </c>
      <c r="X45" s="214">
        <f t="shared" si="1"/>
        <v>9.1226197317612252E-4</v>
      </c>
      <c r="Y45" s="6"/>
      <c r="Z45" s="6"/>
      <c r="AA45" s="6">
        <f>IFERROR(VLOOKUP(H45,SEMANAS!$B$1:$D$301,2,0),0)</f>
        <v>27</v>
      </c>
      <c r="AB45" s="6">
        <f>IFERROR(VLOOKUP(I45,SEMANAS!$B$1:$D$301,2,0),0)</f>
        <v>27</v>
      </c>
      <c r="AC45" s="16">
        <f t="shared" si="2"/>
        <v>0</v>
      </c>
      <c r="AD45" s="10"/>
      <c r="AE45" s="10"/>
      <c r="AF45" s="10">
        <f>IFERROR(VLOOKUP(J45,SEMANAS!$B$1:$D$301,2,0),0)</f>
        <v>0</v>
      </c>
      <c r="AG45" s="10">
        <f>IFERROR(VLOOKUP(K45,SEMANAS!$B$1:$D$301,2,0),0)</f>
        <v>0</v>
      </c>
      <c r="AH45" s="11">
        <f t="shared" si="3"/>
        <v>0</v>
      </c>
      <c r="AI45" s="206">
        <f>IF(P45&gt;0,"executado",VLOOKUP(D45,'REPLAN - Agilean'!$A$6:$C$127,2,0))</f>
        <v>44614</v>
      </c>
      <c r="AJ45" s="206">
        <f>IF(P45&gt;0,"executado",VLOOKUP(D45,'REPLAN - Agilean'!$A$6:$C$127,3,0))</f>
        <v>44616</v>
      </c>
      <c r="AK45" s="3">
        <f>IFERROR(VLOOKUP(AI45,SEMANAS!$B$1:$D$301,2,0),0)</f>
        <v>28</v>
      </c>
      <c r="AL45" s="3">
        <f>IFERROR(VLOOKUP(AJ45,SEMANAS!$B$1:$D$301,2,0),0)</f>
        <v>28</v>
      </c>
      <c r="AM45" s="220">
        <f t="shared" si="11"/>
        <v>1400</v>
      </c>
      <c r="AN45" s="218">
        <f>IFERROR(VLOOKUP(D45,#REF!,6,0),0)</f>
        <v>0</v>
      </c>
      <c r="AO45" s="218">
        <f>IFERROR(VLOOKUP(D45,#REF!,7,0),0)</f>
        <v>0</v>
      </c>
      <c r="AP45" s="206">
        <f t="shared" si="12"/>
        <v>44599</v>
      </c>
      <c r="AQ45" s="206">
        <f t="shared" si="13"/>
        <v>44629</v>
      </c>
    </row>
    <row r="46" spans="1:43" x14ac:dyDescent="0.25">
      <c r="A46" s="20" t="s">
        <v>168</v>
      </c>
      <c r="B46" s="20" t="s">
        <v>109</v>
      </c>
      <c r="C46" s="20" t="s">
        <v>405</v>
      </c>
      <c r="D46" s="20" t="str">
        <f t="shared" si="0"/>
        <v>Pintura Interna - 1ªdmãoPAV2</v>
      </c>
      <c r="E46" s="20" t="s">
        <v>26</v>
      </c>
      <c r="F46" s="20" t="s">
        <v>54</v>
      </c>
      <c r="G46" s="65">
        <v>5</v>
      </c>
      <c r="H46" s="18">
        <v>44615</v>
      </c>
      <c r="I46" s="18">
        <v>44622</v>
      </c>
      <c r="J46" s="17"/>
      <c r="K46" s="17"/>
      <c r="L46" s="196">
        <v>14799.65</v>
      </c>
      <c r="M46" s="21">
        <v>0</v>
      </c>
      <c r="N46" s="20"/>
      <c r="O46" s="20"/>
      <c r="P46" s="194">
        <v>0</v>
      </c>
      <c r="Q46" s="19" t="s">
        <v>84</v>
      </c>
      <c r="R46" s="19" t="s">
        <v>142</v>
      </c>
      <c r="S46" s="19" t="s">
        <v>158</v>
      </c>
      <c r="T46" s="19" t="s">
        <v>110</v>
      </c>
      <c r="U46" s="19" t="s">
        <v>34</v>
      </c>
      <c r="V46" s="225">
        <v>476.74</v>
      </c>
      <c r="W46" s="19" t="s">
        <v>29</v>
      </c>
      <c r="X46" s="214">
        <f t="shared" si="1"/>
        <v>9.6436842223685728E-3</v>
      </c>
      <c r="Y46" s="6"/>
      <c r="Z46" s="6"/>
      <c r="AA46" s="6">
        <f>IFERROR(VLOOKUP(H46,SEMANAS!$B$1:$D$301,2,0),0)</f>
        <v>28</v>
      </c>
      <c r="AB46" s="6">
        <f>IFERROR(VLOOKUP(I46,SEMANAS!$B$1:$D$301,2,0),0)</f>
        <v>29</v>
      </c>
      <c r="AC46" s="16">
        <f t="shared" si="2"/>
        <v>0</v>
      </c>
      <c r="AD46" s="10"/>
      <c r="AE46" s="10"/>
      <c r="AF46" s="10">
        <f>IFERROR(VLOOKUP(J46,SEMANAS!$B$1:$D$301,2,0),0)</f>
        <v>0</v>
      </c>
      <c r="AG46" s="10">
        <f>IFERROR(VLOOKUP(K46,SEMANAS!$B$1:$D$301,2,0),0)</f>
        <v>0</v>
      </c>
      <c r="AH46" s="11">
        <f t="shared" si="3"/>
        <v>0</v>
      </c>
      <c r="AI46" s="206">
        <f>IF(P46&gt;0,"executado",VLOOKUP(D46,'REPLAN - Agilean'!$A$6:$C$127,2,0))</f>
        <v>44621</v>
      </c>
      <c r="AJ46" s="206">
        <f>IF(P46&gt;0,"executado",VLOOKUP(D46,'REPLAN - Agilean'!$A$6:$C$127,3,0))</f>
        <v>44627</v>
      </c>
      <c r="AK46" s="3">
        <f>IFERROR(VLOOKUP(AI46,SEMANAS!$B$1:$D$301,2,0),0)</f>
        <v>29</v>
      </c>
      <c r="AL46" s="3">
        <f>IFERROR(VLOOKUP(AJ46,SEMANAS!$B$1:$D$301,2,0),0)</f>
        <v>30</v>
      </c>
      <c r="AM46" s="220">
        <f t="shared" si="11"/>
        <v>14799.65</v>
      </c>
      <c r="AN46" s="218">
        <f>IFERROR(VLOOKUP(D46,#REF!,6,0),0)</f>
        <v>0</v>
      </c>
      <c r="AO46" s="218">
        <f>IFERROR(VLOOKUP(D46,#REF!,7,0),0)</f>
        <v>0</v>
      </c>
      <c r="AP46" s="206">
        <f t="shared" si="12"/>
        <v>44606</v>
      </c>
      <c r="AQ46" s="206">
        <f t="shared" si="13"/>
        <v>44636</v>
      </c>
    </row>
    <row r="47" spans="1:43" x14ac:dyDescent="0.25">
      <c r="A47" s="20" t="s">
        <v>169</v>
      </c>
      <c r="B47" s="20" t="s">
        <v>112</v>
      </c>
      <c r="C47" s="20" t="s">
        <v>406</v>
      </c>
      <c r="D47" s="20" t="str">
        <f t="shared" si="0"/>
        <v>LouçasPAV2</v>
      </c>
      <c r="E47" s="20" t="s">
        <v>26</v>
      </c>
      <c r="F47" s="20" t="s">
        <v>54</v>
      </c>
      <c r="G47" s="65">
        <v>5</v>
      </c>
      <c r="H47" s="18">
        <v>44622</v>
      </c>
      <c r="I47" s="18">
        <v>44629</v>
      </c>
      <c r="J47" s="17"/>
      <c r="K47" s="17"/>
      <c r="L47" s="196">
        <v>5236.0200000000004</v>
      </c>
      <c r="M47" s="21">
        <v>0</v>
      </c>
      <c r="N47" s="20"/>
      <c r="O47" s="20"/>
      <c r="P47" s="194">
        <v>0</v>
      </c>
      <c r="Q47" s="19" t="s">
        <v>113</v>
      </c>
      <c r="R47" s="19" t="s">
        <v>142</v>
      </c>
      <c r="S47" s="19" t="s">
        <v>170</v>
      </c>
      <c r="T47" s="19" t="s">
        <v>113</v>
      </c>
      <c r="U47" s="19" t="s">
        <v>34</v>
      </c>
      <c r="V47" s="225">
        <v>16</v>
      </c>
      <c r="W47" s="19" t="s">
        <v>91</v>
      </c>
      <c r="X47" s="214">
        <f t="shared" si="1"/>
        <v>3.411872811992601E-3</v>
      </c>
      <c r="Y47" s="6"/>
      <c r="Z47" s="6"/>
      <c r="AA47" s="6">
        <f>IFERROR(VLOOKUP(H47,SEMANAS!$B$1:$D$301,2,0),0)</f>
        <v>29</v>
      </c>
      <c r="AB47" s="6">
        <f>IFERROR(VLOOKUP(I47,SEMANAS!$B$1:$D$301,2,0),0)</f>
        <v>30</v>
      </c>
      <c r="AC47" s="16">
        <f t="shared" si="2"/>
        <v>0</v>
      </c>
      <c r="AD47" s="10"/>
      <c r="AE47" s="10"/>
      <c r="AF47" s="10">
        <f>IFERROR(VLOOKUP(J47,SEMANAS!$B$1:$D$301,2,0),0)</f>
        <v>0</v>
      </c>
      <c r="AG47" s="10">
        <f>IFERROR(VLOOKUP(K47,SEMANAS!$B$1:$D$301,2,0),0)</f>
        <v>0</v>
      </c>
      <c r="AH47" s="11">
        <f t="shared" si="3"/>
        <v>0</v>
      </c>
      <c r="AI47" s="206">
        <f>IF(P47&gt;0,"executado",VLOOKUP(D47,'REPLAN - Agilean'!$A$6:$C$127,2,0))</f>
        <v>44635</v>
      </c>
      <c r="AJ47" s="206">
        <f>IF(P47&gt;0,"executado",VLOOKUP(D47,'REPLAN - Agilean'!$A$6:$C$127,3,0))</f>
        <v>44637</v>
      </c>
      <c r="AK47" s="3">
        <f>IFERROR(VLOOKUP(AI47,SEMANAS!$B$1:$D$301,2,0),0)</f>
        <v>31</v>
      </c>
      <c r="AL47" s="3">
        <f>IFERROR(VLOOKUP(AJ47,SEMANAS!$B$1:$D$301,2,0),0)</f>
        <v>31</v>
      </c>
      <c r="AM47" s="220">
        <f t="shared" si="11"/>
        <v>5236.0200000000004</v>
      </c>
      <c r="AN47" s="218">
        <f>IFERROR(VLOOKUP(D47,#REF!,6,0),0)</f>
        <v>0</v>
      </c>
      <c r="AO47" s="218">
        <f>IFERROR(VLOOKUP(D47,#REF!,7,0),0)</f>
        <v>0</v>
      </c>
      <c r="AP47" s="206">
        <f t="shared" si="12"/>
        <v>44620</v>
      </c>
      <c r="AQ47" s="206">
        <f t="shared" si="13"/>
        <v>44650</v>
      </c>
    </row>
    <row r="48" spans="1:43" x14ac:dyDescent="0.25">
      <c r="A48" s="20" t="s">
        <v>171</v>
      </c>
      <c r="B48" s="20" t="s">
        <v>120</v>
      </c>
      <c r="C48" s="20" t="s">
        <v>408</v>
      </c>
      <c r="D48" s="20" t="str">
        <f t="shared" si="0"/>
        <v>Esquadria de Ferro CirculaçãoPAV2</v>
      </c>
      <c r="E48" s="20" t="s">
        <v>26</v>
      </c>
      <c r="F48" s="20" t="s">
        <v>54</v>
      </c>
      <c r="G48" s="65">
        <v>2</v>
      </c>
      <c r="H48" s="18">
        <v>44622</v>
      </c>
      <c r="I48" s="18">
        <v>44624</v>
      </c>
      <c r="J48" s="17"/>
      <c r="K48" s="17"/>
      <c r="L48" s="196">
        <v>2054.02</v>
      </c>
      <c r="M48" s="21">
        <v>0</v>
      </c>
      <c r="N48" s="20"/>
      <c r="O48" s="20"/>
      <c r="P48" s="194">
        <v>0</v>
      </c>
      <c r="Q48" s="19" t="s">
        <v>121</v>
      </c>
      <c r="R48" s="19" t="s">
        <v>142</v>
      </c>
      <c r="S48" s="19" t="s">
        <v>172</v>
      </c>
      <c r="T48" s="19" t="s">
        <v>121</v>
      </c>
      <c r="U48" s="19" t="s">
        <v>34</v>
      </c>
      <c r="V48" s="225">
        <v>4.17</v>
      </c>
      <c r="W48" s="19" t="s">
        <v>91</v>
      </c>
      <c r="X48" s="214">
        <f t="shared" si="1"/>
        <v>1.3384316701022993E-3</v>
      </c>
      <c r="Y48" s="6"/>
      <c r="Z48" s="6"/>
      <c r="AA48" s="6">
        <f>IFERROR(VLOOKUP(H48,SEMANAS!$B$1:$D$301,2,0),0)</f>
        <v>29</v>
      </c>
      <c r="AB48" s="6">
        <f>IFERROR(VLOOKUP(I48,SEMANAS!$B$1:$D$301,2,0),0)</f>
        <v>29</v>
      </c>
      <c r="AC48" s="16">
        <f t="shared" si="2"/>
        <v>0</v>
      </c>
      <c r="AD48" s="10"/>
      <c r="AE48" s="10"/>
      <c r="AF48" s="10">
        <f>IFERROR(VLOOKUP(J48,SEMANAS!$B$1:$D$301,2,0),0)</f>
        <v>0</v>
      </c>
      <c r="AG48" s="10">
        <f>IFERROR(VLOOKUP(K48,SEMANAS!$B$1:$D$301,2,0),0)</f>
        <v>0</v>
      </c>
      <c r="AH48" s="11">
        <f t="shared" si="3"/>
        <v>0</v>
      </c>
      <c r="AI48" s="206">
        <f>IF(P48&gt;0,"executado",VLOOKUP(D48,'REPLAN - Agilean'!$A$6:$C$127,2,0))</f>
        <v>44630</v>
      </c>
      <c r="AJ48" s="206">
        <f>IF(P48&gt;0,"executado",VLOOKUP(D48,'REPLAN - Agilean'!$A$6:$C$127,3,0))</f>
        <v>44634</v>
      </c>
      <c r="AK48" s="3">
        <f>IFERROR(VLOOKUP(AI48,SEMANAS!$B$1:$D$301,2,0),0)</f>
        <v>30</v>
      </c>
      <c r="AL48" s="3">
        <f>IFERROR(VLOOKUP(AJ48,SEMANAS!$B$1:$D$301,2,0),0)</f>
        <v>31</v>
      </c>
      <c r="AM48" s="220">
        <f t="shared" si="11"/>
        <v>2054.02</v>
      </c>
      <c r="AN48" s="218">
        <f>IFERROR(VLOOKUP(D48,#REF!,6,0),0)</f>
        <v>0</v>
      </c>
      <c r="AO48" s="218">
        <f>IFERROR(VLOOKUP(D48,#REF!,7,0),0)</f>
        <v>0</v>
      </c>
      <c r="AP48" s="206">
        <f t="shared" si="12"/>
        <v>44615</v>
      </c>
      <c r="AQ48" s="206">
        <f t="shared" si="13"/>
        <v>44645</v>
      </c>
    </row>
    <row r="49" spans="1:43" x14ac:dyDescent="0.25">
      <c r="A49" s="20" t="s">
        <v>173</v>
      </c>
      <c r="B49" s="20" t="s">
        <v>116</v>
      </c>
      <c r="C49" s="20" t="s">
        <v>407</v>
      </c>
      <c r="D49" s="20" t="str">
        <f t="shared" si="0"/>
        <v>Portas de MadeiraPAV2</v>
      </c>
      <c r="E49" s="20" t="s">
        <v>26</v>
      </c>
      <c r="F49" s="20" t="s">
        <v>54</v>
      </c>
      <c r="G49" s="65">
        <v>5</v>
      </c>
      <c r="H49" s="18">
        <v>44629</v>
      </c>
      <c r="I49" s="18">
        <v>44636</v>
      </c>
      <c r="J49" s="17"/>
      <c r="K49" s="17"/>
      <c r="L49" s="196">
        <v>10400</v>
      </c>
      <c r="M49" s="21">
        <v>0</v>
      </c>
      <c r="N49" s="20"/>
      <c r="O49" s="20"/>
      <c r="P49" s="194">
        <v>0</v>
      </c>
      <c r="Q49" s="19" t="s">
        <v>117</v>
      </c>
      <c r="R49" s="19" t="s">
        <v>142</v>
      </c>
      <c r="S49" s="19" t="s">
        <v>174</v>
      </c>
      <c r="T49" s="19" t="s">
        <v>117</v>
      </c>
      <c r="U49" s="19" t="s">
        <v>34</v>
      </c>
      <c r="V49" s="225">
        <v>20</v>
      </c>
      <c r="W49" s="19" t="s">
        <v>123</v>
      </c>
      <c r="X49" s="214">
        <f t="shared" si="1"/>
        <v>6.7768032293083385E-3</v>
      </c>
      <c r="Y49" s="6"/>
      <c r="Z49" s="6"/>
      <c r="AA49" s="6">
        <f>IFERROR(VLOOKUP(H49,SEMANAS!$B$1:$D$301,2,0),0)</f>
        <v>30</v>
      </c>
      <c r="AB49" s="6">
        <f>IFERROR(VLOOKUP(I49,SEMANAS!$B$1:$D$301,2,0),0)</f>
        <v>31</v>
      </c>
      <c r="AC49" s="16">
        <f t="shared" si="2"/>
        <v>0</v>
      </c>
      <c r="AD49" s="10"/>
      <c r="AE49" s="10"/>
      <c r="AF49" s="10">
        <f>IFERROR(VLOOKUP(J49,SEMANAS!$B$1:$D$301,2,0),0)</f>
        <v>0</v>
      </c>
      <c r="AG49" s="10">
        <f>IFERROR(VLOOKUP(K49,SEMANAS!$B$1:$D$301,2,0),0)</f>
        <v>0</v>
      </c>
      <c r="AH49" s="11">
        <f t="shared" si="3"/>
        <v>0</v>
      </c>
      <c r="AI49" s="206">
        <f>IF(P49&gt;0,"executado",VLOOKUP(D49,'REPLAN - Agilean'!$A$6:$C$127,2,0))</f>
        <v>44637</v>
      </c>
      <c r="AJ49" s="206">
        <f>IF(P49&gt;0,"executado",VLOOKUP(D49,'REPLAN - Agilean'!$A$6:$C$127,3,0))</f>
        <v>44641</v>
      </c>
      <c r="AK49" s="3">
        <f>IFERROR(VLOOKUP(AI49,SEMANAS!$B$1:$D$301,2,0),0)</f>
        <v>31</v>
      </c>
      <c r="AL49" s="3">
        <f>IFERROR(VLOOKUP(AJ49,SEMANAS!$B$1:$D$301,2,0),0)</f>
        <v>32</v>
      </c>
      <c r="AM49" s="220">
        <f t="shared" si="11"/>
        <v>10400</v>
      </c>
      <c r="AN49" s="218">
        <f>IFERROR(VLOOKUP(D49,#REF!,6,0),0)</f>
        <v>0</v>
      </c>
      <c r="AO49" s="218">
        <f>IFERROR(VLOOKUP(D49,#REF!,7,0),0)</f>
        <v>0</v>
      </c>
      <c r="AP49" s="206">
        <f t="shared" si="12"/>
        <v>44622</v>
      </c>
      <c r="AQ49" s="206">
        <f t="shared" si="13"/>
        <v>44652</v>
      </c>
    </row>
    <row r="50" spans="1:43" x14ac:dyDescent="0.25">
      <c r="A50" s="20" t="s">
        <v>175</v>
      </c>
      <c r="B50" s="20" t="s">
        <v>125</v>
      </c>
      <c r="C50" s="20" t="s">
        <v>409</v>
      </c>
      <c r="D50" s="20" t="str">
        <f t="shared" si="0"/>
        <v>Piso Laminado + RodapéPAV2</v>
      </c>
      <c r="E50" s="20" t="s">
        <v>26</v>
      </c>
      <c r="F50" s="20" t="s">
        <v>54</v>
      </c>
      <c r="G50" s="65">
        <v>5</v>
      </c>
      <c r="H50" s="18">
        <v>44636</v>
      </c>
      <c r="I50" s="18">
        <v>44643</v>
      </c>
      <c r="J50" s="17"/>
      <c r="K50" s="17"/>
      <c r="L50" s="196">
        <v>13171.26</v>
      </c>
      <c r="M50" s="21">
        <v>0</v>
      </c>
      <c r="N50" s="20"/>
      <c r="O50" s="20"/>
      <c r="P50" s="194">
        <v>0</v>
      </c>
      <c r="Q50" s="19" t="s">
        <v>126</v>
      </c>
      <c r="R50" s="19" t="s">
        <v>142</v>
      </c>
      <c r="S50" s="19" t="s">
        <v>176</v>
      </c>
      <c r="T50" s="19" t="s">
        <v>126</v>
      </c>
      <c r="U50" s="19" t="s">
        <v>34</v>
      </c>
      <c r="V50" s="225">
        <v>80.88</v>
      </c>
      <c r="W50" s="19" t="s">
        <v>29</v>
      </c>
      <c r="X50" s="214">
        <f t="shared" si="1"/>
        <v>8.5825997405826679E-3</v>
      </c>
      <c r="Y50" s="6"/>
      <c r="Z50" s="6"/>
      <c r="AA50" s="6">
        <f>IFERROR(VLOOKUP(H50,SEMANAS!$B$1:$D$301,2,0),0)</f>
        <v>31</v>
      </c>
      <c r="AB50" s="6">
        <f>IFERROR(VLOOKUP(I50,SEMANAS!$B$1:$D$301,2,0),0)</f>
        <v>32</v>
      </c>
      <c r="AC50" s="16">
        <f t="shared" si="2"/>
        <v>0</v>
      </c>
      <c r="AD50" s="10"/>
      <c r="AE50" s="10"/>
      <c r="AF50" s="10">
        <f>IFERROR(VLOOKUP(J50,SEMANAS!$B$1:$D$301,2,0),0)</f>
        <v>0</v>
      </c>
      <c r="AG50" s="10">
        <f>IFERROR(VLOOKUP(K50,SEMANAS!$B$1:$D$301,2,0),0)</f>
        <v>0</v>
      </c>
      <c r="AH50" s="11">
        <f t="shared" si="3"/>
        <v>0</v>
      </c>
      <c r="AI50" s="206">
        <f>IF(P50&gt;0,"executado",VLOOKUP(D50,'REPLAN - Agilean'!$A$6:$C$127,2,0))</f>
        <v>44649</v>
      </c>
      <c r="AJ50" s="206">
        <f>IF(P50&gt;0,"executado",VLOOKUP(D50,'REPLAN - Agilean'!$A$6:$C$127,3,0))</f>
        <v>44655</v>
      </c>
      <c r="AK50" s="3">
        <f>IFERROR(VLOOKUP(AI50,SEMANAS!$B$1:$D$301,2,0),0)</f>
        <v>33</v>
      </c>
      <c r="AL50" s="3">
        <f>IFERROR(VLOOKUP(AJ50,SEMANAS!$B$1:$D$301,2,0),0)</f>
        <v>34</v>
      </c>
      <c r="AM50" s="220">
        <f t="shared" si="11"/>
        <v>13171.26</v>
      </c>
      <c r="AN50" s="218">
        <f>IFERROR(VLOOKUP(D50,#REF!,6,0),0)</f>
        <v>0</v>
      </c>
      <c r="AO50" s="218">
        <f>IFERROR(VLOOKUP(D50,#REF!,7,0),0)</f>
        <v>0</v>
      </c>
      <c r="AP50" s="206">
        <f t="shared" si="12"/>
        <v>44634</v>
      </c>
      <c r="AQ50" s="206">
        <f t="shared" si="13"/>
        <v>44664</v>
      </c>
    </row>
    <row r="51" spans="1:43" x14ac:dyDescent="0.25">
      <c r="A51" s="20" t="s">
        <v>177</v>
      </c>
      <c r="B51" s="20" t="s">
        <v>129</v>
      </c>
      <c r="C51" s="20" t="s">
        <v>410</v>
      </c>
      <c r="D51" s="20" t="str">
        <f t="shared" si="0"/>
        <v>MetaisPAV2</v>
      </c>
      <c r="E51" s="20" t="s">
        <v>26</v>
      </c>
      <c r="F51" s="20" t="s">
        <v>54</v>
      </c>
      <c r="G51" s="65">
        <v>2</v>
      </c>
      <c r="H51" s="18">
        <v>44650</v>
      </c>
      <c r="I51" s="18">
        <v>44652</v>
      </c>
      <c r="J51" s="17"/>
      <c r="K51" s="17"/>
      <c r="L51" s="196">
        <v>1340.04</v>
      </c>
      <c r="M51" s="21">
        <v>0</v>
      </c>
      <c r="N51" s="20"/>
      <c r="O51" s="20"/>
      <c r="P51" s="194">
        <v>0</v>
      </c>
      <c r="Q51" s="19" t="s">
        <v>130</v>
      </c>
      <c r="R51" s="19" t="s">
        <v>142</v>
      </c>
      <c r="S51" s="19" t="s">
        <v>178</v>
      </c>
      <c r="T51" s="19" t="s">
        <v>130</v>
      </c>
      <c r="U51" s="19" t="s">
        <v>34</v>
      </c>
      <c r="V51" s="225">
        <v>12</v>
      </c>
      <c r="W51" s="19" t="s">
        <v>91</v>
      </c>
      <c r="X51" s="214">
        <f t="shared" si="1"/>
        <v>8.7319109609637949E-4</v>
      </c>
      <c r="Y51" s="6"/>
      <c r="Z51" s="6"/>
      <c r="AA51" s="6">
        <f>IFERROR(VLOOKUP(H51,SEMANAS!$B$1:$D$301,2,0),0)</f>
        <v>33</v>
      </c>
      <c r="AB51" s="6">
        <f>IFERROR(VLOOKUP(I51,SEMANAS!$B$1:$D$301,2,0),0)</f>
        <v>33</v>
      </c>
      <c r="AC51" s="16">
        <f t="shared" si="2"/>
        <v>0</v>
      </c>
      <c r="AD51" s="10"/>
      <c r="AE51" s="10"/>
      <c r="AF51" s="10">
        <f>IFERROR(VLOOKUP(J51,SEMANAS!$B$1:$D$301,2,0),0)</f>
        <v>0</v>
      </c>
      <c r="AG51" s="10">
        <f>IFERROR(VLOOKUP(K51,SEMANAS!$B$1:$D$301,2,0),0)</f>
        <v>0</v>
      </c>
      <c r="AH51" s="11">
        <f t="shared" si="3"/>
        <v>0</v>
      </c>
      <c r="AI51" s="206">
        <f>IF(P51&gt;0,"executado",VLOOKUP(D51,'REPLAN - Agilean'!$A$6:$C$127,2,0))</f>
        <v>44642</v>
      </c>
      <c r="AJ51" s="206">
        <f>IF(P51&gt;0,"executado",VLOOKUP(D51,'REPLAN - Agilean'!$A$6:$C$127,3,0))</f>
        <v>44644</v>
      </c>
      <c r="AK51" s="3">
        <f>IFERROR(VLOOKUP(AI51,SEMANAS!$B$1:$D$301,2,0),0)</f>
        <v>32</v>
      </c>
      <c r="AL51" s="3">
        <f>IFERROR(VLOOKUP(AJ51,SEMANAS!$B$1:$D$301,2,0),0)</f>
        <v>32</v>
      </c>
      <c r="AM51" s="220">
        <f t="shared" si="11"/>
        <v>1340.04</v>
      </c>
      <c r="AN51" s="218">
        <f>IFERROR(VLOOKUP(D51,#REF!,6,0),0)</f>
        <v>0</v>
      </c>
      <c r="AO51" s="218">
        <f>IFERROR(VLOOKUP(D51,#REF!,7,0),0)</f>
        <v>0</v>
      </c>
      <c r="AP51" s="206">
        <f t="shared" si="12"/>
        <v>44627</v>
      </c>
      <c r="AQ51" s="206">
        <f t="shared" si="13"/>
        <v>44657</v>
      </c>
    </row>
    <row r="52" spans="1:43" x14ac:dyDescent="0.25">
      <c r="A52" s="20" t="s">
        <v>179</v>
      </c>
      <c r="B52" s="20" t="s">
        <v>133</v>
      </c>
      <c r="C52" s="20" t="s">
        <v>411</v>
      </c>
      <c r="D52" s="20" t="str">
        <f t="shared" si="0"/>
        <v>Acabamentos ElétricosPAV2</v>
      </c>
      <c r="E52" s="20" t="s">
        <v>26</v>
      </c>
      <c r="F52" s="20" t="s">
        <v>54</v>
      </c>
      <c r="G52" s="65">
        <v>2</v>
      </c>
      <c r="H52" s="18">
        <v>44650</v>
      </c>
      <c r="I52" s="18">
        <v>44652</v>
      </c>
      <c r="J52" s="17"/>
      <c r="K52" s="17"/>
      <c r="L52" s="196">
        <v>0</v>
      </c>
      <c r="M52" s="21">
        <v>0</v>
      </c>
      <c r="N52" s="20"/>
      <c r="O52" s="20"/>
      <c r="P52" s="194">
        <v>0</v>
      </c>
      <c r="Q52" s="19" t="s">
        <v>84</v>
      </c>
      <c r="R52" s="19" t="s">
        <v>142</v>
      </c>
      <c r="S52" s="19" t="s">
        <v>158</v>
      </c>
      <c r="T52" s="19" t="s">
        <v>134</v>
      </c>
      <c r="U52" s="19" t="s">
        <v>34</v>
      </c>
      <c r="V52" s="225">
        <v>4</v>
      </c>
      <c r="W52" s="19" t="s">
        <v>95</v>
      </c>
      <c r="X52" s="214">
        <f t="shared" si="1"/>
        <v>0</v>
      </c>
      <c r="Y52" s="6"/>
      <c r="Z52" s="6"/>
      <c r="AA52" s="6">
        <f>IFERROR(VLOOKUP(H52,SEMANAS!$B$1:$D$301,2,0),0)</f>
        <v>33</v>
      </c>
      <c r="AB52" s="6">
        <f>IFERROR(VLOOKUP(I52,SEMANAS!$B$1:$D$301,2,0),0)</f>
        <v>33</v>
      </c>
      <c r="AC52" s="16">
        <f t="shared" si="2"/>
        <v>0</v>
      </c>
      <c r="AD52" s="10"/>
      <c r="AE52" s="10"/>
      <c r="AF52" s="10">
        <f>IFERROR(VLOOKUP(J52,SEMANAS!$B$1:$D$301,2,0),0)</f>
        <v>0</v>
      </c>
      <c r="AG52" s="10">
        <f>IFERROR(VLOOKUP(K52,SEMANAS!$B$1:$D$301,2,0),0)</f>
        <v>0</v>
      </c>
      <c r="AH52" s="11">
        <f t="shared" si="3"/>
        <v>0</v>
      </c>
      <c r="AI52" s="206">
        <f>IF(P52&gt;0,"executado",VLOOKUP(D52,'REPLAN - Agilean'!$A$6:$C$127,2,0))</f>
        <v>44642</v>
      </c>
      <c r="AJ52" s="206">
        <f>IF(P52&gt;0,"executado",VLOOKUP(D52,'REPLAN - Agilean'!$A$6:$C$127,3,0))</f>
        <v>44644</v>
      </c>
      <c r="AK52" s="3">
        <f>IFERROR(VLOOKUP(AI52,SEMANAS!$B$1:$D$301,2,0),0)</f>
        <v>32</v>
      </c>
      <c r="AL52" s="3">
        <f>IFERROR(VLOOKUP(AJ52,SEMANAS!$B$1:$D$301,2,0),0)</f>
        <v>32</v>
      </c>
      <c r="AM52" s="220">
        <f t="shared" si="11"/>
        <v>0</v>
      </c>
      <c r="AN52" s="218">
        <f>IFERROR(VLOOKUP(D52,#REF!,6,0),0)</f>
        <v>0</v>
      </c>
      <c r="AO52" s="218">
        <f>IFERROR(VLOOKUP(D52,#REF!,7,0),0)</f>
        <v>0</v>
      </c>
      <c r="AP52" s="206">
        <f t="shared" si="12"/>
        <v>44627</v>
      </c>
      <c r="AQ52" s="206">
        <f t="shared" si="13"/>
        <v>44657</v>
      </c>
    </row>
    <row r="53" spans="1:43" x14ac:dyDescent="0.25">
      <c r="A53" s="20" t="s">
        <v>180</v>
      </c>
      <c r="B53" s="20" t="s">
        <v>136</v>
      </c>
      <c r="C53" s="20" t="s">
        <v>412</v>
      </c>
      <c r="D53" s="20" t="str">
        <f t="shared" si="0"/>
        <v>Pintura FinalPAV2</v>
      </c>
      <c r="E53" s="20" t="s">
        <v>26</v>
      </c>
      <c r="F53" s="20" t="s">
        <v>54</v>
      </c>
      <c r="G53" s="65">
        <v>5</v>
      </c>
      <c r="H53" s="18">
        <v>44657</v>
      </c>
      <c r="I53" s="18">
        <v>44664</v>
      </c>
      <c r="J53" s="17"/>
      <c r="K53" s="17"/>
      <c r="L53" s="196">
        <v>3687.38</v>
      </c>
      <c r="M53" s="21">
        <v>0</v>
      </c>
      <c r="N53" s="20"/>
      <c r="O53" s="20"/>
      <c r="P53" s="194">
        <v>0</v>
      </c>
      <c r="Q53" s="19" t="s">
        <v>84</v>
      </c>
      <c r="R53" s="19" t="s">
        <v>142</v>
      </c>
      <c r="S53" s="19" t="s">
        <v>158</v>
      </c>
      <c r="T53" s="19" t="s">
        <v>137</v>
      </c>
      <c r="U53" s="19" t="s">
        <v>34</v>
      </c>
      <c r="V53" s="225">
        <v>614.55999999999995</v>
      </c>
      <c r="W53" s="19" t="s">
        <v>29</v>
      </c>
      <c r="X53" s="214">
        <f t="shared" si="1"/>
        <v>2.4027546818929791E-3</v>
      </c>
      <c r="Y53" s="6"/>
      <c r="Z53" s="6"/>
      <c r="AA53" s="6">
        <f>IFERROR(VLOOKUP(H53,SEMANAS!$B$1:$D$301,2,0),0)</f>
        <v>34</v>
      </c>
      <c r="AB53" s="6">
        <f>IFERROR(VLOOKUP(I53,SEMANAS!$B$1:$D$301,2,0),0)</f>
        <v>35</v>
      </c>
      <c r="AC53" s="16">
        <f t="shared" si="2"/>
        <v>0</v>
      </c>
      <c r="AD53" s="10"/>
      <c r="AE53" s="10"/>
      <c r="AF53" s="10">
        <f>IFERROR(VLOOKUP(J53,SEMANAS!$B$1:$D$301,2,0),0)</f>
        <v>0</v>
      </c>
      <c r="AG53" s="10">
        <f>IFERROR(VLOOKUP(K53,SEMANAS!$B$1:$D$301,2,0),0)</f>
        <v>0</v>
      </c>
      <c r="AH53" s="11">
        <f t="shared" si="3"/>
        <v>0</v>
      </c>
      <c r="AI53" s="206">
        <f>IF(P53&gt;0,"executado",VLOOKUP(D53,'REPLAN - Agilean'!$A$6:$C$127,2,0))</f>
        <v>44656</v>
      </c>
      <c r="AJ53" s="206">
        <f>IF(P53&gt;0,"executado",VLOOKUP(D53,'REPLAN - Agilean'!$A$6:$C$127,3,0))</f>
        <v>44662</v>
      </c>
      <c r="AK53" s="3">
        <f>IFERROR(VLOOKUP(AI53,SEMANAS!$B$1:$D$301,2,0),0)</f>
        <v>34</v>
      </c>
      <c r="AL53" s="3">
        <f>IFERROR(VLOOKUP(AJ53,SEMANAS!$B$1:$D$301,2,0),0)</f>
        <v>35</v>
      </c>
      <c r="AM53" s="220">
        <f t="shared" si="11"/>
        <v>3687.38</v>
      </c>
      <c r="AN53" s="218">
        <f>IFERROR(VLOOKUP(D53,#REF!,6,0),0)</f>
        <v>0</v>
      </c>
      <c r="AO53" s="218">
        <f>IFERROR(VLOOKUP(D53,#REF!,7,0),0)</f>
        <v>0</v>
      </c>
      <c r="AP53" s="206">
        <f t="shared" si="12"/>
        <v>44641</v>
      </c>
      <c r="AQ53" s="206">
        <f t="shared" si="13"/>
        <v>44671</v>
      </c>
    </row>
    <row r="54" spans="1:43" x14ac:dyDescent="0.25">
      <c r="A54" s="20" t="s">
        <v>181</v>
      </c>
      <c r="B54" s="20" t="s">
        <v>139</v>
      </c>
      <c r="C54" s="20" t="s">
        <v>413</v>
      </c>
      <c r="D54" s="20" t="str">
        <f t="shared" si="0"/>
        <v>Complementação e LimpezaPAV2</v>
      </c>
      <c r="E54" s="20" t="s">
        <v>26</v>
      </c>
      <c r="F54" s="20" t="s">
        <v>54</v>
      </c>
      <c r="G54" s="65">
        <v>2</v>
      </c>
      <c r="H54" s="18">
        <v>44671</v>
      </c>
      <c r="I54" s="18">
        <v>44673</v>
      </c>
      <c r="J54" s="17"/>
      <c r="K54" s="17"/>
      <c r="L54" s="196">
        <v>500</v>
      </c>
      <c r="M54" s="21">
        <v>0</v>
      </c>
      <c r="N54" s="20"/>
      <c r="O54" s="20"/>
      <c r="P54" s="194">
        <v>0</v>
      </c>
      <c r="Q54" s="19" t="s">
        <v>84</v>
      </c>
      <c r="R54" s="19" t="s">
        <v>142</v>
      </c>
      <c r="S54" s="19" t="s">
        <v>158</v>
      </c>
      <c r="T54" s="19" t="s">
        <v>140</v>
      </c>
      <c r="U54" s="19" t="s">
        <v>34</v>
      </c>
      <c r="V54" s="225">
        <v>0.25</v>
      </c>
      <c r="W54" s="19" t="s">
        <v>44</v>
      </c>
      <c r="X54" s="214">
        <f t="shared" si="1"/>
        <v>3.2580784756290089E-4</v>
      </c>
      <c r="Y54" s="6"/>
      <c r="Z54" s="6"/>
      <c r="AA54" s="6">
        <f>IFERROR(VLOOKUP(H54,SEMANAS!$B$1:$D$301,2,0),0)</f>
        <v>36</v>
      </c>
      <c r="AB54" s="6">
        <f>IFERROR(VLOOKUP(I54,SEMANAS!$B$1:$D$301,2,0),0)</f>
        <v>36</v>
      </c>
      <c r="AC54" s="16">
        <f t="shared" si="2"/>
        <v>0</v>
      </c>
      <c r="AD54" s="10"/>
      <c r="AE54" s="10"/>
      <c r="AF54" s="10">
        <f>IFERROR(VLOOKUP(J54,SEMANAS!$B$1:$D$301,2,0),0)</f>
        <v>0</v>
      </c>
      <c r="AG54" s="10">
        <f>IFERROR(VLOOKUP(K54,SEMANAS!$B$1:$D$301,2,0),0)</f>
        <v>0</v>
      </c>
      <c r="AH54" s="11">
        <f t="shared" si="3"/>
        <v>0</v>
      </c>
      <c r="AI54" s="206">
        <f>IF(P54&gt;0,"executado",VLOOKUP(D54,'REPLAN - Agilean'!$A$6:$C$127,2,0))</f>
        <v>44663</v>
      </c>
      <c r="AJ54" s="206">
        <f>IF(P54&gt;0,"executado",VLOOKUP(D54,'REPLAN - Agilean'!$A$6:$C$127,3,0))</f>
        <v>44665</v>
      </c>
      <c r="AK54" s="3">
        <f>IFERROR(VLOOKUP(AI54,SEMANAS!$B$1:$D$301,2,0),0)</f>
        <v>35</v>
      </c>
      <c r="AL54" s="3">
        <f>IFERROR(VLOOKUP(AJ54,SEMANAS!$B$1:$D$301,2,0),0)</f>
        <v>35</v>
      </c>
      <c r="AM54" s="220">
        <f t="shared" si="11"/>
        <v>500</v>
      </c>
      <c r="AN54" s="218">
        <f>IFERROR(VLOOKUP(D54,#REF!,6,0),0)</f>
        <v>0</v>
      </c>
      <c r="AO54" s="218">
        <f>IFERROR(VLOOKUP(D54,#REF!,7,0),0)</f>
        <v>0</v>
      </c>
      <c r="AP54" s="206">
        <f t="shared" si="12"/>
        <v>44648</v>
      </c>
      <c r="AQ54" s="206">
        <f t="shared" si="13"/>
        <v>44678</v>
      </c>
    </row>
    <row r="55" spans="1:43" x14ac:dyDescent="0.25">
      <c r="A55" s="20" t="s">
        <v>182</v>
      </c>
      <c r="B55" s="20" t="s">
        <v>183</v>
      </c>
      <c r="C55" s="20"/>
      <c r="D55" s="20" t="str">
        <f t="shared" si="0"/>
        <v>PAV3</v>
      </c>
      <c r="E55" s="20"/>
      <c r="F55" s="20"/>
      <c r="G55" s="65">
        <v>132</v>
      </c>
      <c r="H55" s="18">
        <v>44494</v>
      </c>
      <c r="I55" s="18">
        <v>44678</v>
      </c>
      <c r="J55" s="17"/>
      <c r="K55" s="17"/>
      <c r="L55" s="196"/>
      <c r="M55" s="21">
        <v>0</v>
      </c>
      <c r="N55" s="20"/>
      <c r="O55" s="20"/>
      <c r="P55" s="194">
        <v>0</v>
      </c>
      <c r="Q55" s="19"/>
      <c r="R55" s="19"/>
      <c r="S55" s="19" t="s">
        <v>51</v>
      </c>
      <c r="T55" s="19">
        <v>0</v>
      </c>
      <c r="U55" s="19">
        <v>0</v>
      </c>
      <c r="V55" s="225"/>
      <c r="W55" s="19"/>
      <c r="X55" s="214">
        <f t="shared" si="1"/>
        <v>0</v>
      </c>
      <c r="Y55" s="6"/>
      <c r="Z55" s="6"/>
      <c r="AA55" s="6">
        <f>IFERROR(VLOOKUP(H55,SEMANAS!$B$1:$D$301,2,0),0)</f>
        <v>11</v>
      </c>
      <c r="AB55" s="6">
        <f>IFERROR(VLOOKUP(I55,SEMANAS!$B$1:$D$301,2,0),0)</f>
        <v>37</v>
      </c>
      <c r="AC55" s="16">
        <f t="shared" si="2"/>
        <v>0</v>
      </c>
      <c r="AD55" s="10"/>
      <c r="AE55" s="10"/>
      <c r="AF55" s="10">
        <f>IFERROR(VLOOKUP(J55,SEMANAS!$B$1:$D$301,2,0),0)</f>
        <v>0</v>
      </c>
      <c r="AG55" s="10">
        <f>IFERROR(VLOOKUP(K55,SEMANAS!$B$1:$D$301,2,0),0)</f>
        <v>0</v>
      </c>
      <c r="AH55" s="11">
        <f t="shared" si="3"/>
        <v>0</v>
      </c>
      <c r="AI55" s="206">
        <f>IF(P55&gt;0,"executado",VLOOKUP(D55,'REPLAN - Agilean'!$A$6:$C$127,2,0))</f>
        <v>44494</v>
      </c>
      <c r="AJ55" s="206">
        <f>IF(P55&gt;0,"executado",VLOOKUP(D55,'REPLAN - Agilean'!$A$6:$C$127,3,0))</f>
        <v>44672</v>
      </c>
      <c r="AK55" s="3">
        <f>IFERROR(VLOOKUP(AI55,SEMANAS!$B$1:$D$301,2,0),0)</f>
        <v>11</v>
      </c>
      <c r="AL55" s="3">
        <f>IFERROR(VLOOKUP(AJ55,SEMANAS!$B$1:$D$301,2,0),0)</f>
        <v>36</v>
      </c>
      <c r="AM55" s="3">
        <f t="shared" si="4"/>
        <v>0</v>
      </c>
      <c r="AN55" s="3">
        <f>IFERROR(VLOOKUP(D55,#REF!,6,0),0)</f>
        <v>0</v>
      </c>
      <c r="AO55" s="3"/>
      <c r="AP55" s="3"/>
      <c r="AQ55" s="3"/>
    </row>
    <row r="56" spans="1:43" x14ac:dyDescent="0.25">
      <c r="A56" s="20" t="s">
        <v>184</v>
      </c>
      <c r="B56" s="20" t="s">
        <v>53</v>
      </c>
      <c r="C56" s="20" t="s">
        <v>392</v>
      </c>
      <c r="D56" s="20" t="str">
        <f t="shared" si="0"/>
        <v>Alvenaria EstruturalPAV3</v>
      </c>
      <c r="E56" s="20" t="s">
        <v>26</v>
      </c>
      <c r="F56" s="20" t="s">
        <v>54</v>
      </c>
      <c r="G56" s="65">
        <v>5</v>
      </c>
      <c r="H56" s="18">
        <v>44494</v>
      </c>
      <c r="I56" s="18">
        <v>44498</v>
      </c>
      <c r="J56" s="17">
        <v>44501</v>
      </c>
      <c r="K56" s="17">
        <v>44505</v>
      </c>
      <c r="L56" s="196">
        <v>96851.74</v>
      </c>
      <c r="M56" s="21">
        <v>0</v>
      </c>
      <c r="N56" s="20"/>
      <c r="O56" s="20"/>
      <c r="P56" s="194">
        <v>1</v>
      </c>
      <c r="Q56" s="19" t="s">
        <v>55</v>
      </c>
      <c r="R56" s="19" t="s">
        <v>183</v>
      </c>
      <c r="S56" s="19" t="s">
        <v>185</v>
      </c>
      <c r="T56" s="19" t="s">
        <v>55</v>
      </c>
      <c r="U56" s="19" t="s">
        <v>34</v>
      </c>
      <c r="V56" s="225">
        <v>390.7</v>
      </c>
      <c r="W56" s="19" t="s">
        <v>29</v>
      </c>
      <c r="X56" s="214">
        <f t="shared" si="1"/>
        <v>6.3110113884243424E-2</v>
      </c>
      <c r="Y56" s="7"/>
      <c r="Z56" s="7">
        <v>1</v>
      </c>
      <c r="AA56" s="6">
        <f>IFERROR(VLOOKUP(H56,SEMANAS!$B$1:$D$301,2,0),0)</f>
        <v>11</v>
      </c>
      <c r="AB56" s="6">
        <f>IFERROR(VLOOKUP(I56,SEMANAS!$B$1:$D$301,2,0),0)</f>
        <v>11</v>
      </c>
      <c r="AC56" s="16">
        <f t="shared" si="2"/>
        <v>96851.74</v>
      </c>
      <c r="AD56" s="10">
        <f>K56-J56+1</f>
        <v>5</v>
      </c>
      <c r="AE56" s="10"/>
      <c r="AF56" s="10">
        <f>IFERROR(VLOOKUP(J56,SEMANAS!$B$1:$D$301,2,0),0)</f>
        <v>12</v>
      </c>
      <c r="AG56" s="10">
        <f>IFERROR(VLOOKUP(K56,SEMANAS!$B$1:$D$301,2,0),0)</f>
        <v>12</v>
      </c>
      <c r="AH56" s="11">
        <f t="shared" si="3"/>
        <v>96851.74</v>
      </c>
      <c r="AI56" s="206" t="str">
        <f>IF(P56&gt;0,"executado",VLOOKUP(D56,'REPLAN - Agilean'!$A$6:$C$127,2,0))</f>
        <v>executado</v>
      </c>
      <c r="AJ56" s="206" t="str">
        <f>IF(P56&gt;0,"executado",VLOOKUP(D56,'REPLAN - Agilean'!$A$6:$C$127,3,0))</f>
        <v>executado</v>
      </c>
      <c r="AK56" s="3">
        <f>IFERROR(VLOOKUP(AI56,SEMANAS!$B$1:$D$301,2,0),0)</f>
        <v>0</v>
      </c>
      <c r="AL56" s="3">
        <f>IFERROR(VLOOKUP(AJ56,SEMANAS!$B$1:$D$301,2,0),0)</f>
        <v>0</v>
      </c>
      <c r="AM56" s="220">
        <f t="shared" ref="AM56:AM77" si="14">IF(AL56&lt;=0,0,L56)</f>
        <v>0</v>
      </c>
      <c r="AN56" s="218">
        <f>IFERROR(VLOOKUP(D56,#REF!,6,0),0)</f>
        <v>0</v>
      </c>
      <c r="AO56" s="218">
        <f>IFERROR(VLOOKUP(D56,#REF!,7,0),0)</f>
        <v>0</v>
      </c>
      <c r="AP56" s="206" t="str">
        <f t="shared" ref="AP56:AP77" si="15">IF(AI56="executado","desembolsado",AI56-15)</f>
        <v>desembolsado</v>
      </c>
      <c r="AQ56" s="206" t="str">
        <f t="shared" ref="AQ56:AQ77" si="16">IF(AJ56="executado","desembolsado",AI56+15)</f>
        <v>desembolsado</v>
      </c>
    </row>
    <row r="57" spans="1:43" x14ac:dyDescent="0.25">
      <c r="A57" s="20" t="s">
        <v>186</v>
      </c>
      <c r="B57" s="20" t="s">
        <v>58</v>
      </c>
      <c r="C57" s="20" t="s">
        <v>393</v>
      </c>
      <c r="D57" s="20" t="str">
        <f t="shared" si="0"/>
        <v>Estrutura Moldado in LocoPAV3</v>
      </c>
      <c r="E57" s="20" t="s">
        <v>26</v>
      </c>
      <c r="F57" s="20" t="s">
        <v>54</v>
      </c>
      <c r="G57" s="65">
        <v>5</v>
      </c>
      <c r="H57" s="18">
        <v>44501</v>
      </c>
      <c r="I57" s="18">
        <v>44505</v>
      </c>
      <c r="J57" s="17">
        <v>44508</v>
      </c>
      <c r="K57" s="17">
        <v>44512</v>
      </c>
      <c r="L57" s="196">
        <v>64892.03</v>
      </c>
      <c r="M57" s="21">
        <v>0</v>
      </c>
      <c r="N57" s="20"/>
      <c r="O57" s="20"/>
      <c r="P57" s="194">
        <v>1</v>
      </c>
      <c r="Q57" s="19" t="s">
        <v>59</v>
      </c>
      <c r="R57" s="19" t="s">
        <v>183</v>
      </c>
      <c r="S57" s="19" t="s">
        <v>187</v>
      </c>
      <c r="T57" s="19" t="s">
        <v>59</v>
      </c>
      <c r="U57" s="19" t="s">
        <v>34</v>
      </c>
      <c r="V57" s="225">
        <v>25.44</v>
      </c>
      <c r="W57" s="19" t="s">
        <v>35</v>
      </c>
      <c r="X57" s="214">
        <f t="shared" si="1"/>
        <v>4.2284665236574384E-2</v>
      </c>
      <c r="Y57" s="7"/>
      <c r="Z57" s="7">
        <v>1</v>
      </c>
      <c r="AA57" s="6">
        <f>IFERROR(VLOOKUP(H57,SEMANAS!$B$1:$D$301,2,0),0)</f>
        <v>12</v>
      </c>
      <c r="AB57" s="6">
        <f>IFERROR(VLOOKUP(I57,SEMANAS!$B$1:$D$301,2,0),0)</f>
        <v>12</v>
      </c>
      <c r="AC57" s="16">
        <f t="shared" si="2"/>
        <v>64892.03</v>
      </c>
      <c r="AD57" s="10">
        <f>K57-J57+1</f>
        <v>5</v>
      </c>
      <c r="AE57" s="10"/>
      <c r="AF57" s="10">
        <f>IFERROR(VLOOKUP(J57,SEMANAS!$B$1:$D$301,2,0),0)</f>
        <v>13</v>
      </c>
      <c r="AG57" s="10">
        <f>IFERROR(VLOOKUP(K57,SEMANAS!$B$1:$D$301,2,0),0)</f>
        <v>13</v>
      </c>
      <c r="AH57" s="11">
        <f t="shared" si="3"/>
        <v>64892.03</v>
      </c>
      <c r="AI57" s="206" t="str">
        <f>IF(P57&gt;0,"executado",VLOOKUP(D57,'REPLAN - Agilean'!$A$6:$C$127,2,0))</f>
        <v>executado</v>
      </c>
      <c r="AJ57" s="206" t="str">
        <f>IF(P57&gt;0,"executado",VLOOKUP(D57,'REPLAN - Agilean'!$A$6:$C$127,3,0))</f>
        <v>executado</v>
      </c>
      <c r="AK57" s="3">
        <f>IFERROR(VLOOKUP(AI57,SEMANAS!$B$1:$D$301,2,0),0)</f>
        <v>0</v>
      </c>
      <c r="AL57" s="3">
        <f>IFERROR(VLOOKUP(AJ57,SEMANAS!$B$1:$D$301,2,0),0)</f>
        <v>0</v>
      </c>
      <c r="AM57" s="220">
        <f t="shared" si="14"/>
        <v>0</v>
      </c>
      <c r="AN57" s="218">
        <f>IFERROR(VLOOKUP(D57,#REF!,6,0),0)</f>
        <v>0</v>
      </c>
      <c r="AO57" s="218">
        <f>IFERROR(VLOOKUP(D57,#REF!,7,0),0)</f>
        <v>0</v>
      </c>
      <c r="AP57" s="206" t="str">
        <f t="shared" si="15"/>
        <v>desembolsado</v>
      </c>
      <c r="AQ57" s="206" t="str">
        <f t="shared" si="16"/>
        <v>desembolsado</v>
      </c>
    </row>
    <row r="58" spans="1:43" x14ac:dyDescent="0.25">
      <c r="A58" s="20" t="s">
        <v>188</v>
      </c>
      <c r="B58" s="20" t="s">
        <v>62</v>
      </c>
      <c r="C58" s="20" t="s">
        <v>394</v>
      </c>
      <c r="D58" s="20" t="str">
        <f t="shared" si="0"/>
        <v>Instalações HidrossanitáriasPAV3</v>
      </c>
      <c r="E58" s="20" t="s">
        <v>26</v>
      </c>
      <c r="F58" s="20" t="s">
        <v>54</v>
      </c>
      <c r="G58" s="65">
        <v>5</v>
      </c>
      <c r="H58" s="18">
        <v>44515</v>
      </c>
      <c r="I58" s="18">
        <v>44519</v>
      </c>
      <c r="J58" s="17">
        <v>44522</v>
      </c>
      <c r="K58" s="17">
        <v>44526</v>
      </c>
      <c r="L58" s="196">
        <v>13455.89</v>
      </c>
      <c r="M58" s="21">
        <v>0</v>
      </c>
      <c r="N58" s="20"/>
      <c r="O58" s="20"/>
      <c r="P58" s="194">
        <v>1</v>
      </c>
      <c r="Q58" s="19" t="s">
        <v>63</v>
      </c>
      <c r="R58" s="19" t="s">
        <v>183</v>
      </c>
      <c r="S58" s="19" t="s">
        <v>189</v>
      </c>
      <c r="T58" s="19" t="s">
        <v>63</v>
      </c>
      <c r="U58" s="19" t="s">
        <v>34</v>
      </c>
      <c r="V58" s="225">
        <v>1</v>
      </c>
      <c r="W58" s="19" t="s">
        <v>65</v>
      </c>
      <c r="X58" s="214">
        <f t="shared" si="1"/>
        <v>8.7680691158863247E-3</v>
      </c>
      <c r="Y58" s="7"/>
      <c r="Z58" s="7">
        <v>1</v>
      </c>
      <c r="AA58" s="6">
        <f>IFERROR(VLOOKUP(H58,SEMANAS!$B$1:$D$301,2,0),0)</f>
        <v>14</v>
      </c>
      <c r="AB58" s="6">
        <f>IFERROR(VLOOKUP(I58,SEMANAS!$B$1:$D$301,2,0),0)</f>
        <v>14</v>
      </c>
      <c r="AC58" s="16">
        <f t="shared" si="2"/>
        <v>13455.89</v>
      </c>
      <c r="AD58" s="10">
        <f>K58-J58+1</f>
        <v>5</v>
      </c>
      <c r="AE58" s="10"/>
      <c r="AF58" s="10">
        <f>IFERROR(VLOOKUP(J58,SEMANAS!$B$1:$D$301,2,0),0)</f>
        <v>15</v>
      </c>
      <c r="AG58" s="10">
        <f>IFERROR(VLOOKUP(K58,SEMANAS!$B$1:$D$301,2,0),0)</f>
        <v>15</v>
      </c>
      <c r="AH58" s="11">
        <f t="shared" si="3"/>
        <v>13455.89</v>
      </c>
      <c r="AI58" s="206" t="str">
        <f>IF(P58&gt;0,"executado",VLOOKUP(D58,'REPLAN - Agilean'!$A$6:$C$127,2,0))</f>
        <v>executado</v>
      </c>
      <c r="AJ58" s="206" t="str">
        <f>IF(P58&gt;0,"executado",VLOOKUP(D58,'REPLAN - Agilean'!$A$6:$C$127,3,0))</f>
        <v>executado</v>
      </c>
      <c r="AK58" s="3">
        <f>IFERROR(VLOOKUP(AI58,SEMANAS!$B$1:$D$301,2,0),0)</f>
        <v>0</v>
      </c>
      <c r="AL58" s="3">
        <f>IFERROR(VLOOKUP(AJ58,SEMANAS!$B$1:$D$301,2,0),0)</f>
        <v>0</v>
      </c>
      <c r="AM58" s="220">
        <f t="shared" si="14"/>
        <v>0</v>
      </c>
      <c r="AN58" s="218">
        <f>IFERROR(VLOOKUP(D58,#REF!,6,0),0)</f>
        <v>0</v>
      </c>
      <c r="AO58" s="218">
        <f>IFERROR(VLOOKUP(D58,#REF!,7,0),0)</f>
        <v>0</v>
      </c>
      <c r="AP58" s="206" t="str">
        <f t="shared" si="15"/>
        <v>desembolsado</v>
      </c>
      <c r="AQ58" s="206" t="str">
        <f t="shared" si="16"/>
        <v>desembolsado</v>
      </c>
    </row>
    <row r="59" spans="1:43" x14ac:dyDescent="0.25">
      <c r="A59" s="20" t="s">
        <v>190</v>
      </c>
      <c r="B59" s="20" t="s">
        <v>67</v>
      </c>
      <c r="C59" s="20" t="s">
        <v>395</v>
      </c>
      <c r="D59" s="20" t="str">
        <f t="shared" si="0"/>
        <v>Reboco InternoPAV3</v>
      </c>
      <c r="E59" s="20" t="s">
        <v>26</v>
      </c>
      <c r="F59" s="20" t="s">
        <v>54</v>
      </c>
      <c r="G59" s="65">
        <v>5</v>
      </c>
      <c r="H59" s="18">
        <v>44529</v>
      </c>
      <c r="I59" s="18">
        <v>44533</v>
      </c>
      <c r="J59" s="17">
        <v>44529</v>
      </c>
      <c r="K59" s="17">
        <v>44533</v>
      </c>
      <c r="L59" s="196">
        <v>984.14</v>
      </c>
      <c r="M59" s="21">
        <v>0</v>
      </c>
      <c r="N59" s="20"/>
      <c r="O59" s="20"/>
      <c r="P59" s="194">
        <v>1</v>
      </c>
      <c r="Q59" s="19" t="s">
        <v>68</v>
      </c>
      <c r="R59" s="19" t="s">
        <v>183</v>
      </c>
      <c r="S59" s="19" t="s">
        <v>191</v>
      </c>
      <c r="T59" s="19" t="s">
        <v>68</v>
      </c>
      <c r="U59" s="19" t="s">
        <v>34</v>
      </c>
      <c r="V59" s="225">
        <v>140.59</v>
      </c>
      <c r="W59" s="19" t="s">
        <v>29</v>
      </c>
      <c r="X59" s="214">
        <f t="shared" si="1"/>
        <v>6.4128107020110659E-4</v>
      </c>
      <c r="Y59" s="7"/>
      <c r="Z59" s="7">
        <v>1</v>
      </c>
      <c r="AA59" s="6">
        <f>IFERROR(VLOOKUP(H59,SEMANAS!$B$1:$D$301,2,0),0)</f>
        <v>16</v>
      </c>
      <c r="AB59" s="6">
        <f>IFERROR(VLOOKUP(I59,SEMANAS!$B$1:$D$301,2,0),0)</f>
        <v>16</v>
      </c>
      <c r="AC59" s="16">
        <f t="shared" si="2"/>
        <v>984.14</v>
      </c>
      <c r="AD59" s="10">
        <f>K59-J59+1</f>
        <v>5</v>
      </c>
      <c r="AE59" s="10"/>
      <c r="AF59" s="10">
        <f>IFERROR(VLOOKUP(J59,SEMANAS!$B$1:$D$301,2,0),0)</f>
        <v>16</v>
      </c>
      <c r="AG59" s="10">
        <f>IFERROR(VLOOKUP(K59,SEMANAS!$B$1:$D$301,2,0),0)</f>
        <v>16</v>
      </c>
      <c r="AH59" s="11">
        <f t="shared" si="3"/>
        <v>984.14</v>
      </c>
      <c r="AI59" s="206" t="str">
        <f>IF(P59&gt;0,"executado",VLOOKUP(D59,'REPLAN - Agilean'!$A$6:$C$127,2,0))</f>
        <v>executado</v>
      </c>
      <c r="AJ59" s="206" t="str">
        <f>IF(P59&gt;0,"executado",VLOOKUP(D59,'REPLAN - Agilean'!$A$6:$C$127,3,0))</f>
        <v>executado</v>
      </c>
      <c r="AK59" s="3">
        <f>IFERROR(VLOOKUP(AI59,SEMANAS!$B$1:$D$301,2,0),0)</f>
        <v>0</v>
      </c>
      <c r="AL59" s="3">
        <f>IFERROR(VLOOKUP(AJ59,SEMANAS!$B$1:$D$301,2,0),0)</f>
        <v>0</v>
      </c>
      <c r="AM59" s="220">
        <f t="shared" si="14"/>
        <v>0</v>
      </c>
      <c r="AN59" s="218">
        <f>IFERROR(VLOOKUP(D59,#REF!,6,0),0)</f>
        <v>0</v>
      </c>
      <c r="AO59" s="218">
        <f>IFERROR(VLOOKUP(D59,#REF!,7,0),0)</f>
        <v>0</v>
      </c>
      <c r="AP59" s="206" t="str">
        <f t="shared" si="15"/>
        <v>desembolsado</v>
      </c>
      <c r="AQ59" s="206" t="str">
        <f t="shared" si="16"/>
        <v>desembolsado</v>
      </c>
    </row>
    <row r="60" spans="1:43" x14ac:dyDescent="0.25">
      <c r="A60" s="20" t="s">
        <v>192</v>
      </c>
      <c r="B60" s="20" t="s">
        <v>71</v>
      </c>
      <c r="C60" s="20" t="s">
        <v>396</v>
      </c>
      <c r="D60" s="20" t="str">
        <f t="shared" si="0"/>
        <v>Shaft PAV3</v>
      </c>
      <c r="E60" s="20" t="s">
        <v>26</v>
      </c>
      <c r="F60" s="20" t="s">
        <v>54</v>
      </c>
      <c r="G60" s="65">
        <v>2</v>
      </c>
      <c r="H60" s="18">
        <v>44557</v>
      </c>
      <c r="I60" s="18">
        <v>44559</v>
      </c>
      <c r="J60" s="17">
        <v>44557</v>
      </c>
      <c r="K60" s="17"/>
      <c r="L60" s="196">
        <v>3159.37</v>
      </c>
      <c r="M60" s="21">
        <v>0</v>
      </c>
      <c r="N60" s="20"/>
      <c r="O60" s="20"/>
      <c r="P60" s="194">
        <v>0</v>
      </c>
      <c r="Q60" s="19" t="s">
        <v>72</v>
      </c>
      <c r="R60" s="19" t="s">
        <v>183</v>
      </c>
      <c r="S60" s="19" t="s">
        <v>193</v>
      </c>
      <c r="T60" s="19" t="s">
        <v>72</v>
      </c>
      <c r="U60" s="19" t="s">
        <v>34</v>
      </c>
      <c r="V60" s="225">
        <v>10.69</v>
      </c>
      <c r="W60" s="19" t="s">
        <v>29</v>
      </c>
      <c r="X60" s="214">
        <f t="shared" si="1"/>
        <v>2.0586950787096045E-3</v>
      </c>
      <c r="Y60" s="7"/>
      <c r="Z60" s="7">
        <v>1</v>
      </c>
      <c r="AA60" s="6">
        <f>IFERROR(VLOOKUP(H60,SEMANAS!$B$1:$D$301,2,0),0)</f>
        <v>20</v>
      </c>
      <c r="AB60" s="6">
        <f>IFERROR(VLOOKUP(I60,SEMANAS!$B$1:$D$301,2,0),0)</f>
        <v>20</v>
      </c>
      <c r="AC60" s="16">
        <f t="shared" si="2"/>
        <v>3159.37</v>
      </c>
      <c r="AD60" s="10"/>
      <c r="AE60" s="10"/>
      <c r="AF60" s="10">
        <f>IFERROR(VLOOKUP(J60,SEMANAS!$B$1:$D$301,2,0),0)</f>
        <v>20</v>
      </c>
      <c r="AG60" s="10">
        <f>IFERROR(VLOOKUP(K60,SEMANAS!$B$1:$D$301,2,0),0)</f>
        <v>0</v>
      </c>
      <c r="AH60" s="11">
        <f t="shared" si="3"/>
        <v>0</v>
      </c>
      <c r="AI60" s="206">
        <f>IF(P60&gt;0,"executado",VLOOKUP(D60,'REPLAN - Agilean'!$A$6:$C$127,2,0))</f>
        <v>44564</v>
      </c>
      <c r="AJ60" s="206">
        <f>IF(P60&gt;0,"executado",VLOOKUP(D60,'REPLAN - Agilean'!$A$6:$C$127,3,0))</f>
        <v>44566</v>
      </c>
      <c r="AK60" s="3">
        <f>IFERROR(VLOOKUP(AI60,SEMANAS!$B$1:$D$301,2,0),0)</f>
        <v>21</v>
      </c>
      <c r="AL60" s="3">
        <f>IFERROR(VLOOKUP(AJ60,SEMANAS!$B$1:$D$301,2,0),0)</f>
        <v>21</v>
      </c>
      <c r="AM60" s="220">
        <f t="shared" si="14"/>
        <v>3159.37</v>
      </c>
      <c r="AN60" s="218">
        <f>IFERROR(VLOOKUP(D60,#REF!,6,0),0)</f>
        <v>0</v>
      </c>
      <c r="AO60" s="218">
        <f>IFERROR(VLOOKUP(D60,#REF!,7,0),0)</f>
        <v>0</v>
      </c>
      <c r="AP60" s="206">
        <f t="shared" si="15"/>
        <v>44549</v>
      </c>
      <c r="AQ60" s="206">
        <f t="shared" si="16"/>
        <v>44579</v>
      </c>
    </row>
    <row r="61" spans="1:43" x14ac:dyDescent="0.25">
      <c r="A61" s="20" t="s">
        <v>194</v>
      </c>
      <c r="B61" s="20" t="s">
        <v>75</v>
      </c>
      <c r="C61" s="20" t="s">
        <v>397</v>
      </c>
      <c r="D61" s="20" t="str">
        <f t="shared" si="0"/>
        <v>ImpermeabilizaçãoPAV3</v>
      </c>
      <c r="E61" s="20" t="s">
        <v>26</v>
      </c>
      <c r="F61" s="20" t="s">
        <v>54</v>
      </c>
      <c r="G61" s="65">
        <v>5</v>
      </c>
      <c r="H61" s="18">
        <v>44566</v>
      </c>
      <c r="I61" s="18">
        <v>44573</v>
      </c>
      <c r="J61" s="17"/>
      <c r="K61" s="17"/>
      <c r="L61" s="196">
        <v>239.07</v>
      </c>
      <c r="M61" s="21">
        <v>0</v>
      </c>
      <c r="N61" s="20"/>
      <c r="O61" s="20"/>
      <c r="P61" s="194">
        <v>0</v>
      </c>
      <c r="Q61" s="19" t="s">
        <v>76</v>
      </c>
      <c r="R61" s="19" t="s">
        <v>183</v>
      </c>
      <c r="S61" s="19" t="s">
        <v>195</v>
      </c>
      <c r="T61" s="19" t="s">
        <v>76</v>
      </c>
      <c r="U61" s="19" t="s">
        <v>34</v>
      </c>
      <c r="V61" s="225">
        <v>6.08</v>
      </c>
      <c r="W61" s="19" t="s">
        <v>29</v>
      </c>
      <c r="X61" s="214">
        <f t="shared" si="1"/>
        <v>1.5578176423372545E-4</v>
      </c>
      <c r="Y61" s="6"/>
      <c r="Z61" s="6"/>
      <c r="AA61" s="6">
        <f>IFERROR(VLOOKUP(H61,SEMANAS!$B$1:$D$301,2,0),0)</f>
        <v>21</v>
      </c>
      <c r="AB61" s="6">
        <f>IFERROR(VLOOKUP(I61,SEMANAS!$B$1:$D$301,2,0),0)</f>
        <v>22</v>
      </c>
      <c r="AC61" s="16">
        <f t="shared" si="2"/>
        <v>0</v>
      </c>
      <c r="AD61" s="10"/>
      <c r="AE61" s="10"/>
      <c r="AF61" s="10">
        <f>IFERROR(VLOOKUP(J61,SEMANAS!$B$1:$D$301,2,0),0)</f>
        <v>0</v>
      </c>
      <c r="AG61" s="10">
        <f>IFERROR(VLOOKUP(K61,SEMANAS!$B$1:$D$301,2,0),0)</f>
        <v>0</v>
      </c>
      <c r="AH61" s="11">
        <f t="shared" si="3"/>
        <v>0</v>
      </c>
      <c r="AI61" s="206">
        <f>IF(P61&gt;0,"executado",VLOOKUP(D61,'REPLAN - Agilean'!$A$6:$C$127,2,0))</f>
        <v>44574</v>
      </c>
      <c r="AJ61" s="206">
        <f>IF(P61&gt;0,"executado",VLOOKUP(D61,'REPLAN - Agilean'!$A$6:$C$127,3,0))</f>
        <v>44580</v>
      </c>
      <c r="AK61" s="3">
        <f>IFERROR(VLOOKUP(AI61,SEMANAS!$B$1:$D$301,2,0),0)</f>
        <v>22</v>
      </c>
      <c r="AL61" s="3">
        <f>IFERROR(VLOOKUP(AJ61,SEMANAS!$B$1:$D$301,2,0),0)</f>
        <v>23</v>
      </c>
      <c r="AM61" s="220">
        <f t="shared" si="14"/>
        <v>239.07</v>
      </c>
      <c r="AN61" s="218">
        <f>IFERROR(VLOOKUP(D61,#REF!,6,0),0)</f>
        <v>0</v>
      </c>
      <c r="AO61" s="218">
        <f>IFERROR(VLOOKUP(D61,#REF!,7,0),0)</f>
        <v>0</v>
      </c>
      <c r="AP61" s="206">
        <f t="shared" si="15"/>
        <v>44559</v>
      </c>
      <c r="AQ61" s="206">
        <f t="shared" si="16"/>
        <v>44589</v>
      </c>
    </row>
    <row r="62" spans="1:43" x14ac:dyDescent="0.25">
      <c r="A62" s="20" t="s">
        <v>196</v>
      </c>
      <c r="B62" s="20" t="s">
        <v>79</v>
      </c>
      <c r="C62" s="20" t="s">
        <v>398</v>
      </c>
      <c r="D62" s="20" t="str">
        <f t="shared" si="0"/>
        <v>CerâmicaPAV3</v>
      </c>
      <c r="E62" s="20" t="s">
        <v>26</v>
      </c>
      <c r="F62" s="20" t="s">
        <v>54</v>
      </c>
      <c r="G62" s="65">
        <v>5</v>
      </c>
      <c r="H62" s="18">
        <v>44573</v>
      </c>
      <c r="I62" s="18">
        <v>44580</v>
      </c>
      <c r="J62" s="17"/>
      <c r="K62" s="17"/>
      <c r="L62" s="196">
        <v>20435.66</v>
      </c>
      <c r="M62" s="21">
        <v>0</v>
      </c>
      <c r="N62" s="20"/>
      <c r="O62" s="20"/>
      <c r="P62" s="194">
        <v>0</v>
      </c>
      <c r="Q62" s="19" t="s">
        <v>80</v>
      </c>
      <c r="R62" s="19" t="s">
        <v>183</v>
      </c>
      <c r="S62" s="19" t="s">
        <v>197</v>
      </c>
      <c r="T62" s="19" t="s">
        <v>80</v>
      </c>
      <c r="U62" s="19" t="s">
        <v>34</v>
      </c>
      <c r="V62" s="225">
        <v>86.26</v>
      </c>
      <c r="W62" s="19" t="s">
        <v>29</v>
      </c>
      <c r="X62" s="214">
        <f t="shared" si="1"/>
        <v>1.3316196796254544E-2</v>
      </c>
      <c r="Y62" s="6"/>
      <c r="Z62" s="6"/>
      <c r="AA62" s="6">
        <f>IFERROR(VLOOKUP(H62,SEMANAS!$B$1:$D$301,2,0),0)</f>
        <v>22</v>
      </c>
      <c r="AB62" s="6">
        <f>IFERROR(VLOOKUP(I62,SEMANAS!$B$1:$D$301,2,0),0)</f>
        <v>23</v>
      </c>
      <c r="AC62" s="16">
        <f t="shared" si="2"/>
        <v>0</v>
      </c>
      <c r="AD62" s="10"/>
      <c r="AE62" s="10"/>
      <c r="AF62" s="10">
        <f>IFERROR(VLOOKUP(J62,SEMANAS!$B$1:$D$301,2,0),0)</f>
        <v>0</v>
      </c>
      <c r="AG62" s="10">
        <f>IFERROR(VLOOKUP(K62,SEMANAS!$B$1:$D$301,2,0),0)</f>
        <v>0</v>
      </c>
      <c r="AH62" s="11">
        <f t="shared" si="3"/>
        <v>0</v>
      </c>
      <c r="AI62" s="206">
        <f>IF(P62&gt;0,"executado",VLOOKUP(D62,'REPLAN - Agilean'!$A$6:$C$127,2,0))</f>
        <v>44581</v>
      </c>
      <c r="AJ62" s="206">
        <f>IF(P62&gt;0,"executado",VLOOKUP(D62,'REPLAN - Agilean'!$A$6:$C$127,3,0))</f>
        <v>44587</v>
      </c>
      <c r="AK62" s="3">
        <f>IFERROR(VLOOKUP(AI62,SEMANAS!$B$1:$D$301,2,0),0)</f>
        <v>23</v>
      </c>
      <c r="AL62" s="3">
        <f>IFERROR(VLOOKUP(AJ62,SEMANAS!$B$1:$D$301,2,0),0)</f>
        <v>24</v>
      </c>
      <c r="AM62" s="220">
        <f t="shared" si="14"/>
        <v>20435.66</v>
      </c>
      <c r="AN62" s="218">
        <f>IFERROR(VLOOKUP(D62,#REF!,6,0),0)</f>
        <v>0</v>
      </c>
      <c r="AO62" s="218">
        <f>IFERROR(VLOOKUP(D62,#REF!,7,0),0)</f>
        <v>0</v>
      </c>
      <c r="AP62" s="206">
        <f t="shared" si="15"/>
        <v>44566</v>
      </c>
      <c r="AQ62" s="206">
        <f t="shared" si="16"/>
        <v>44596</v>
      </c>
    </row>
    <row r="63" spans="1:43" x14ac:dyDescent="0.25">
      <c r="A63" s="20" t="s">
        <v>198</v>
      </c>
      <c r="B63" s="20" t="s">
        <v>83</v>
      </c>
      <c r="C63" s="20" t="s">
        <v>399</v>
      </c>
      <c r="D63" s="20" t="str">
        <f t="shared" si="0"/>
        <v>Gesso LisoPAV3</v>
      </c>
      <c r="E63" s="20" t="s">
        <v>26</v>
      </c>
      <c r="F63" s="20" t="s">
        <v>54</v>
      </c>
      <c r="G63" s="65">
        <v>5</v>
      </c>
      <c r="H63" s="18">
        <v>44580</v>
      </c>
      <c r="I63" s="18">
        <v>44587</v>
      </c>
      <c r="J63" s="17"/>
      <c r="K63" s="17"/>
      <c r="L63" s="196">
        <v>6811.28</v>
      </c>
      <c r="M63" s="21">
        <v>0</v>
      </c>
      <c r="N63" s="20"/>
      <c r="O63" s="20"/>
      <c r="P63" s="194">
        <v>0</v>
      </c>
      <c r="Q63" s="19" t="s">
        <v>84</v>
      </c>
      <c r="R63" s="19" t="s">
        <v>183</v>
      </c>
      <c r="S63" s="19" t="s">
        <v>199</v>
      </c>
      <c r="T63" s="19" t="s">
        <v>86</v>
      </c>
      <c r="U63" s="19" t="s">
        <v>34</v>
      </c>
      <c r="V63" s="225">
        <v>447.45</v>
      </c>
      <c r="W63" s="19" t="s">
        <v>29</v>
      </c>
      <c r="X63" s="214">
        <f t="shared" si="1"/>
        <v>4.4383369518964716E-3</v>
      </c>
      <c r="Y63" s="6"/>
      <c r="Z63" s="6"/>
      <c r="AA63" s="6">
        <f>IFERROR(VLOOKUP(H63,SEMANAS!$B$1:$D$301,2,0),0)</f>
        <v>23</v>
      </c>
      <c r="AB63" s="6">
        <f>IFERROR(VLOOKUP(I63,SEMANAS!$B$1:$D$301,2,0),0)</f>
        <v>24</v>
      </c>
      <c r="AC63" s="16">
        <f t="shared" si="2"/>
        <v>0</v>
      </c>
      <c r="AD63" s="10"/>
      <c r="AE63" s="10"/>
      <c r="AF63" s="10">
        <f>IFERROR(VLOOKUP(J63,SEMANAS!$B$1:$D$301,2,0),0)</f>
        <v>0</v>
      </c>
      <c r="AG63" s="10">
        <f>IFERROR(VLOOKUP(K63,SEMANAS!$B$1:$D$301,2,0),0)</f>
        <v>0</v>
      </c>
      <c r="AH63" s="11">
        <f t="shared" si="3"/>
        <v>0</v>
      </c>
      <c r="AI63" s="206">
        <f>IF(P63&gt;0,"executado",VLOOKUP(D63,'REPLAN - Agilean'!$A$6:$C$127,2,0))</f>
        <v>44588</v>
      </c>
      <c r="AJ63" s="206">
        <f>IF(P63&gt;0,"executado",VLOOKUP(D63,'REPLAN - Agilean'!$A$6:$C$127,3,0))</f>
        <v>44594</v>
      </c>
      <c r="AK63" s="3">
        <f>IFERROR(VLOOKUP(AI63,SEMANAS!$B$1:$D$301,2,0),0)</f>
        <v>24</v>
      </c>
      <c r="AL63" s="3">
        <f>IFERROR(VLOOKUP(AJ63,SEMANAS!$B$1:$D$301,2,0),0)</f>
        <v>25</v>
      </c>
      <c r="AM63" s="220">
        <f t="shared" si="14"/>
        <v>6811.28</v>
      </c>
      <c r="AN63" s="218">
        <f>IFERROR(VLOOKUP(D63,#REF!,6,0),0)</f>
        <v>0</v>
      </c>
      <c r="AO63" s="218">
        <f>IFERROR(VLOOKUP(D63,#REF!,7,0),0)</f>
        <v>0</v>
      </c>
      <c r="AP63" s="206">
        <f t="shared" si="15"/>
        <v>44573</v>
      </c>
      <c r="AQ63" s="206">
        <f t="shared" si="16"/>
        <v>44603</v>
      </c>
    </row>
    <row r="64" spans="1:43" x14ac:dyDescent="0.25">
      <c r="A64" s="20" t="s">
        <v>200</v>
      </c>
      <c r="B64" s="20" t="s">
        <v>88</v>
      </c>
      <c r="C64" s="20" t="s">
        <v>400</v>
      </c>
      <c r="D64" s="20" t="str">
        <f t="shared" si="0"/>
        <v>Esquadria PAV3</v>
      </c>
      <c r="E64" s="20" t="s">
        <v>26</v>
      </c>
      <c r="F64" s="20" t="s">
        <v>54</v>
      </c>
      <c r="G64" s="65">
        <v>5</v>
      </c>
      <c r="H64" s="18">
        <v>44587</v>
      </c>
      <c r="I64" s="18">
        <v>44594</v>
      </c>
      <c r="J64" s="17"/>
      <c r="K64" s="17"/>
      <c r="L64" s="196">
        <v>26500</v>
      </c>
      <c r="M64" s="21">
        <v>0</v>
      </c>
      <c r="N64" s="20"/>
      <c r="O64" s="20"/>
      <c r="P64" s="194">
        <v>0</v>
      </c>
      <c r="Q64" s="19" t="s">
        <v>89</v>
      </c>
      <c r="R64" s="19" t="s">
        <v>183</v>
      </c>
      <c r="S64" s="19" t="s">
        <v>201</v>
      </c>
      <c r="T64" s="19" t="s">
        <v>89</v>
      </c>
      <c r="U64" s="19" t="s">
        <v>34</v>
      </c>
      <c r="V64" s="225">
        <v>21</v>
      </c>
      <c r="W64" s="19" t="s">
        <v>91</v>
      </c>
      <c r="X64" s="214">
        <f t="shared" si="1"/>
        <v>1.7267815920833748E-2</v>
      </c>
      <c r="Y64" s="6"/>
      <c r="Z64" s="6"/>
      <c r="AA64" s="6">
        <f>IFERROR(VLOOKUP(H64,SEMANAS!$B$1:$D$301,2,0),0)</f>
        <v>24</v>
      </c>
      <c r="AB64" s="6">
        <f>IFERROR(VLOOKUP(I64,SEMANAS!$B$1:$D$301,2,0),0)</f>
        <v>25</v>
      </c>
      <c r="AC64" s="16">
        <f t="shared" si="2"/>
        <v>0</v>
      </c>
      <c r="AD64" s="10"/>
      <c r="AE64" s="10"/>
      <c r="AF64" s="10">
        <f>IFERROR(VLOOKUP(J64,SEMANAS!$B$1:$D$301,2,0),0)</f>
        <v>0</v>
      </c>
      <c r="AG64" s="10">
        <f>IFERROR(VLOOKUP(K64,SEMANAS!$B$1:$D$301,2,0),0)</f>
        <v>0</v>
      </c>
      <c r="AH64" s="11">
        <f t="shared" si="3"/>
        <v>0</v>
      </c>
      <c r="AI64" s="206">
        <f>IF(P64&gt;0,"executado",VLOOKUP(D64,'REPLAN - Agilean'!$A$6:$C$127,2,0))</f>
        <v>44595</v>
      </c>
      <c r="AJ64" s="206">
        <f>IF(P64&gt;0,"executado",VLOOKUP(D64,'REPLAN - Agilean'!$A$6:$C$127,3,0))</f>
        <v>44599</v>
      </c>
      <c r="AK64" s="3">
        <f>IFERROR(VLOOKUP(AI64,SEMANAS!$B$1:$D$301,2,0),0)</f>
        <v>25</v>
      </c>
      <c r="AL64" s="3">
        <f>IFERROR(VLOOKUP(AJ64,SEMANAS!$B$1:$D$301,2,0),0)</f>
        <v>26</v>
      </c>
      <c r="AM64" s="220">
        <f t="shared" si="14"/>
        <v>26500</v>
      </c>
      <c r="AN64" s="218">
        <f>IFERROR(VLOOKUP(D64,#REF!,6,0),0)</f>
        <v>0</v>
      </c>
      <c r="AO64" s="218">
        <f>IFERROR(VLOOKUP(D64,#REF!,7,0),0)</f>
        <v>0</v>
      </c>
      <c r="AP64" s="206">
        <f t="shared" si="15"/>
        <v>44580</v>
      </c>
      <c r="AQ64" s="206">
        <f t="shared" si="16"/>
        <v>44610</v>
      </c>
    </row>
    <row r="65" spans="1:43" x14ac:dyDescent="0.25">
      <c r="A65" s="20" t="s">
        <v>202</v>
      </c>
      <c r="B65" s="20" t="s">
        <v>93</v>
      </c>
      <c r="C65" s="20" t="s">
        <v>401</v>
      </c>
      <c r="D65" s="20" t="str">
        <f t="shared" si="0"/>
        <v>FiaçãoPAV3</v>
      </c>
      <c r="E65" s="20" t="s">
        <v>26</v>
      </c>
      <c r="F65" s="20" t="s">
        <v>54</v>
      </c>
      <c r="G65" s="65">
        <v>5</v>
      </c>
      <c r="H65" s="18">
        <v>44594</v>
      </c>
      <c r="I65" s="18">
        <v>44601</v>
      </c>
      <c r="J65" s="17"/>
      <c r="K65" s="17"/>
      <c r="L65" s="196">
        <v>5134.5200000000004</v>
      </c>
      <c r="M65" s="21">
        <v>0</v>
      </c>
      <c r="N65" s="20"/>
      <c r="O65" s="20"/>
      <c r="P65" s="194">
        <v>0</v>
      </c>
      <c r="Q65" s="19" t="s">
        <v>84</v>
      </c>
      <c r="R65" s="19" t="s">
        <v>183</v>
      </c>
      <c r="S65" s="19" t="s">
        <v>199</v>
      </c>
      <c r="T65" s="19" t="s">
        <v>94</v>
      </c>
      <c r="U65" s="19" t="s">
        <v>34</v>
      </c>
      <c r="V65" s="225">
        <v>4</v>
      </c>
      <c r="W65" s="19" t="s">
        <v>95</v>
      </c>
      <c r="X65" s="214">
        <f t="shared" si="1"/>
        <v>3.3457338189373321E-3</v>
      </c>
      <c r="Y65" s="6"/>
      <c r="Z65" s="6"/>
      <c r="AA65" s="6">
        <f>IFERROR(VLOOKUP(H65,SEMANAS!$B$1:$D$301,2,0),0)</f>
        <v>25</v>
      </c>
      <c r="AB65" s="6">
        <f>IFERROR(VLOOKUP(I65,SEMANAS!$B$1:$D$301,2,0),0)</f>
        <v>26</v>
      </c>
      <c r="AC65" s="16">
        <f t="shared" si="2"/>
        <v>0</v>
      </c>
      <c r="AD65" s="10"/>
      <c r="AE65" s="10"/>
      <c r="AF65" s="10">
        <f>IFERROR(VLOOKUP(J65,SEMANAS!$B$1:$D$301,2,0),0)</f>
        <v>0</v>
      </c>
      <c r="AG65" s="10">
        <f>IFERROR(VLOOKUP(K65,SEMANAS!$B$1:$D$301,2,0),0)</f>
        <v>0</v>
      </c>
      <c r="AH65" s="11">
        <f t="shared" si="3"/>
        <v>0</v>
      </c>
      <c r="AI65" s="206">
        <f>IF(P65&gt;0,"executado",VLOOKUP(D65,'REPLAN - Agilean'!$A$6:$C$127,2,0))</f>
        <v>44607</v>
      </c>
      <c r="AJ65" s="206">
        <f>IF(P65&gt;0,"executado",VLOOKUP(D65,'REPLAN - Agilean'!$A$6:$C$127,3,0))</f>
        <v>44613</v>
      </c>
      <c r="AK65" s="3">
        <f>IFERROR(VLOOKUP(AI65,SEMANAS!$B$1:$D$301,2,0),0)</f>
        <v>27</v>
      </c>
      <c r="AL65" s="3">
        <f>IFERROR(VLOOKUP(AJ65,SEMANAS!$B$1:$D$301,2,0),0)</f>
        <v>28</v>
      </c>
      <c r="AM65" s="220">
        <f t="shared" si="14"/>
        <v>5134.5200000000004</v>
      </c>
      <c r="AN65" s="218">
        <f>IFERROR(VLOOKUP(D65,#REF!,6,0),0)</f>
        <v>0</v>
      </c>
      <c r="AO65" s="218">
        <f>IFERROR(VLOOKUP(D65,#REF!,7,0),0)</f>
        <v>0</v>
      </c>
      <c r="AP65" s="206">
        <f t="shared" si="15"/>
        <v>44592</v>
      </c>
      <c r="AQ65" s="206">
        <f t="shared" si="16"/>
        <v>44622</v>
      </c>
    </row>
    <row r="66" spans="1:43" x14ac:dyDescent="0.25">
      <c r="A66" s="20" t="s">
        <v>203</v>
      </c>
      <c r="B66" s="20" t="s">
        <v>97</v>
      </c>
      <c r="C66" s="20" t="s">
        <v>402</v>
      </c>
      <c r="D66" s="20" t="str">
        <f t="shared" ref="D66:D125" si="17">CONCATENATE(B66,R66)</f>
        <v>ForroPAV3</v>
      </c>
      <c r="E66" s="20" t="s">
        <v>26</v>
      </c>
      <c r="F66" s="20" t="s">
        <v>54</v>
      </c>
      <c r="G66" s="65">
        <v>5</v>
      </c>
      <c r="H66" s="18">
        <v>44601</v>
      </c>
      <c r="I66" s="18">
        <v>44608</v>
      </c>
      <c r="J66" s="17"/>
      <c r="K66" s="17"/>
      <c r="L66" s="196">
        <v>2297.4899999999998</v>
      </c>
      <c r="M66" s="21">
        <v>0</v>
      </c>
      <c r="N66" s="20"/>
      <c r="O66" s="20"/>
      <c r="P66" s="194">
        <v>0</v>
      </c>
      <c r="Q66" s="19" t="s">
        <v>98</v>
      </c>
      <c r="R66" s="19" t="s">
        <v>183</v>
      </c>
      <c r="S66" s="19" t="s">
        <v>204</v>
      </c>
      <c r="T66" s="19" t="s">
        <v>98</v>
      </c>
      <c r="U66" s="19" t="s">
        <v>34</v>
      </c>
      <c r="V66" s="225">
        <v>29.29</v>
      </c>
      <c r="W66" s="19" t="s">
        <v>29</v>
      </c>
      <c r="X66" s="214">
        <f t="shared" si="1"/>
        <v>1.4970805433945783E-3</v>
      </c>
      <c r="Y66" s="6"/>
      <c r="Z66" s="6"/>
      <c r="AA66" s="6">
        <f>IFERROR(VLOOKUP(H66,SEMANAS!$B$1:$D$301,2,0),0)</f>
        <v>26</v>
      </c>
      <c r="AB66" s="6">
        <f>IFERROR(VLOOKUP(I66,SEMANAS!$B$1:$D$301,2,0),0)</f>
        <v>27</v>
      </c>
      <c r="AC66" s="16">
        <f t="shared" si="2"/>
        <v>0</v>
      </c>
      <c r="AD66" s="10"/>
      <c r="AE66" s="10"/>
      <c r="AF66" s="10">
        <f>IFERROR(VLOOKUP(J66,SEMANAS!$B$1:$D$301,2,0),0)</f>
        <v>0</v>
      </c>
      <c r="AG66" s="10">
        <f>IFERROR(VLOOKUP(K66,SEMANAS!$B$1:$D$301,2,0),0)</f>
        <v>0</v>
      </c>
      <c r="AH66" s="11">
        <f t="shared" si="3"/>
        <v>0</v>
      </c>
      <c r="AI66" s="206">
        <f>IF(P66&gt;0,"executado",VLOOKUP(D66,'REPLAN - Agilean'!$A$6:$C$127,2,0))</f>
        <v>44614</v>
      </c>
      <c r="AJ66" s="206">
        <f>IF(P66&gt;0,"executado",VLOOKUP(D66,'REPLAN - Agilean'!$A$6:$C$127,3,0))</f>
        <v>44620</v>
      </c>
      <c r="AK66" s="3">
        <f>IFERROR(VLOOKUP(AI66,SEMANAS!$B$1:$D$301,2,0),0)</f>
        <v>28</v>
      </c>
      <c r="AL66" s="3">
        <f>IFERROR(VLOOKUP(AJ66,SEMANAS!$B$1:$D$301,2,0),0)</f>
        <v>29</v>
      </c>
      <c r="AM66" s="220">
        <f t="shared" si="14"/>
        <v>2297.4899999999998</v>
      </c>
      <c r="AN66" s="218">
        <f>IFERROR(VLOOKUP(D66,#REF!,6,0),0)</f>
        <v>0</v>
      </c>
      <c r="AO66" s="218">
        <f>IFERROR(VLOOKUP(D66,#REF!,7,0),0)</f>
        <v>0</v>
      </c>
      <c r="AP66" s="206">
        <f t="shared" si="15"/>
        <v>44599</v>
      </c>
      <c r="AQ66" s="206">
        <f t="shared" si="16"/>
        <v>44629</v>
      </c>
    </row>
    <row r="67" spans="1:43" x14ac:dyDescent="0.25">
      <c r="A67" s="20" t="s">
        <v>205</v>
      </c>
      <c r="B67" s="20" t="s">
        <v>101</v>
      </c>
      <c r="C67" s="20" t="s">
        <v>403</v>
      </c>
      <c r="D67" s="20" t="str">
        <f t="shared" si="17"/>
        <v>Rev. da CirculaçãoPAV3</v>
      </c>
      <c r="E67" s="20" t="s">
        <v>26</v>
      </c>
      <c r="F67" s="20" t="s">
        <v>54</v>
      </c>
      <c r="G67" s="65">
        <v>5</v>
      </c>
      <c r="H67" s="18">
        <v>44608</v>
      </c>
      <c r="I67" s="18">
        <v>44615</v>
      </c>
      <c r="J67" s="17"/>
      <c r="K67" s="17"/>
      <c r="L67" s="196">
        <v>3617.43</v>
      </c>
      <c r="M67" s="21">
        <v>0</v>
      </c>
      <c r="N67" s="20"/>
      <c r="O67" s="20"/>
      <c r="P67" s="194">
        <v>0</v>
      </c>
      <c r="Q67" s="19" t="s">
        <v>102</v>
      </c>
      <c r="R67" s="19" t="s">
        <v>183</v>
      </c>
      <c r="S67" s="19" t="s">
        <v>206</v>
      </c>
      <c r="T67" s="19" t="s">
        <v>102</v>
      </c>
      <c r="U67" s="19" t="s">
        <v>34</v>
      </c>
      <c r="V67" s="225">
        <v>22.5</v>
      </c>
      <c r="W67" s="19" t="s">
        <v>29</v>
      </c>
      <c r="X67" s="214">
        <f t="shared" ref="X67:X125" si="18">L67/$L$126</f>
        <v>2.3571741640189292E-3</v>
      </c>
      <c r="Y67" s="6"/>
      <c r="Z67" s="6"/>
      <c r="AA67" s="6">
        <f>IFERROR(VLOOKUP(H67,SEMANAS!$B$1:$D$301,2,0),0)</f>
        <v>27</v>
      </c>
      <c r="AB67" s="6">
        <f>IFERROR(VLOOKUP(I67,SEMANAS!$B$1:$D$301,2,0),0)</f>
        <v>28</v>
      </c>
      <c r="AC67" s="16">
        <f t="shared" ref="AC67:AC125" si="19">Z67*L67</f>
        <v>0</v>
      </c>
      <c r="AD67" s="10"/>
      <c r="AE67" s="10"/>
      <c r="AF67" s="10">
        <f>IFERROR(VLOOKUP(J67,SEMANAS!$B$1:$D$301,2,0),0)</f>
        <v>0</v>
      </c>
      <c r="AG67" s="10">
        <f>IFERROR(VLOOKUP(K67,SEMANAS!$B$1:$D$301,2,0),0)</f>
        <v>0</v>
      </c>
      <c r="AH67" s="11">
        <f t="shared" ref="AH67:AH125" si="20">P67*L67</f>
        <v>0</v>
      </c>
      <c r="AI67" s="206">
        <f>IF(P67&gt;0,"executado",VLOOKUP(D67,'REPLAN - Agilean'!$A$6:$C$127,2,0))</f>
        <v>44621</v>
      </c>
      <c r="AJ67" s="206">
        <f>IF(P67&gt;0,"executado",VLOOKUP(D67,'REPLAN - Agilean'!$A$6:$C$127,3,0))</f>
        <v>44627</v>
      </c>
      <c r="AK67" s="3">
        <f>IFERROR(VLOOKUP(AI67,SEMANAS!$B$1:$D$301,2,0),0)</f>
        <v>29</v>
      </c>
      <c r="AL67" s="3">
        <f>IFERROR(VLOOKUP(AJ67,SEMANAS!$B$1:$D$301,2,0),0)</f>
        <v>30</v>
      </c>
      <c r="AM67" s="220">
        <f t="shared" si="14"/>
        <v>3617.43</v>
      </c>
      <c r="AN67" s="218">
        <f>IFERROR(VLOOKUP(D67,#REF!,6,0),0)</f>
        <v>0</v>
      </c>
      <c r="AO67" s="218">
        <f>IFERROR(VLOOKUP(D67,#REF!,7,0),0)</f>
        <v>0</v>
      </c>
      <c r="AP67" s="206">
        <f t="shared" si="15"/>
        <v>44606</v>
      </c>
      <c r="AQ67" s="206">
        <f t="shared" si="16"/>
        <v>44636</v>
      </c>
    </row>
    <row r="68" spans="1:43" x14ac:dyDescent="0.25">
      <c r="A68" s="20" t="s">
        <v>207</v>
      </c>
      <c r="B68" s="20" t="s">
        <v>105</v>
      </c>
      <c r="C68" s="20" t="s">
        <v>404</v>
      </c>
      <c r="D68" s="20" t="str">
        <f t="shared" si="17"/>
        <v>Disjuntores e CDPAV3</v>
      </c>
      <c r="E68" s="20" t="s">
        <v>26</v>
      </c>
      <c r="F68" s="20" t="s">
        <v>54</v>
      </c>
      <c r="G68" s="65">
        <v>2</v>
      </c>
      <c r="H68" s="18">
        <v>44613</v>
      </c>
      <c r="I68" s="18">
        <v>44615</v>
      </c>
      <c r="J68" s="17"/>
      <c r="K68" s="17"/>
      <c r="L68" s="196">
        <v>1400</v>
      </c>
      <c r="M68" s="21">
        <v>0</v>
      </c>
      <c r="N68" s="20"/>
      <c r="O68" s="20"/>
      <c r="P68" s="194">
        <v>0</v>
      </c>
      <c r="Q68" s="19" t="s">
        <v>106</v>
      </c>
      <c r="R68" s="19" t="s">
        <v>183</v>
      </c>
      <c r="S68" s="19" t="s">
        <v>208</v>
      </c>
      <c r="T68" s="19" t="s">
        <v>106</v>
      </c>
      <c r="U68" s="19" t="s">
        <v>34</v>
      </c>
      <c r="V68" s="225">
        <v>4</v>
      </c>
      <c r="W68" s="19" t="s">
        <v>95</v>
      </c>
      <c r="X68" s="214">
        <f t="shared" si="18"/>
        <v>9.1226197317612252E-4</v>
      </c>
      <c r="Y68" s="6"/>
      <c r="Z68" s="6"/>
      <c r="AA68" s="6">
        <f>IFERROR(VLOOKUP(H68,SEMANAS!$B$1:$D$301,2,0),0)</f>
        <v>28</v>
      </c>
      <c r="AB68" s="6">
        <f>IFERROR(VLOOKUP(I68,SEMANAS!$B$1:$D$301,2,0),0)</f>
        <v>28</v>
      </c>
      <c r="AC68" s="16">
        <f t="shared" si="19"/>
        <v>0</v>
      </c>
      <c r="AD68" s="10"/>
      <c r="AE68" s="10"/>
      <c r="AF68" s="10">
        <f>IFERROR(VLOOKUP(J68,SEMANAS!$B$1:$D$301,2,0),0)</f>
        <v>0</v>
      </c>
      <c r="AG68" s="10">
        <f>IFERROR(VLOOKUP(K68,SEMANAS!$B$1:$D$301,2,0),0)</f>
        <v>0</v>
      </c>
      <c r="AH68" s="11">
        <f t="shared" si="20"/>
        <v>0</v>
      </c>
      <c r="AI68" s="206">
        <f>IF(P68&gt;0,"executado",VLOOKUP(D68,'REPLAN - Agilean'!$A$6:$C$127,2,0))</f>
        <v>44616</v>
      </c>
      <c r="AJ68" s="206">
        <f>IF(P68&gt;0,"executado",VLOOKUP(D68,'REPLAN - Agilean'!$A$6:$C$127,3,0))</f>
        <v>44620</v>
      </c>
      <c r="AK68" s="3">
        <f>IFERROR(VLOOKUP(AI68,SEMANAS!$B$1:$D$301,2,0),0)</f>
        <v>28</v>
      </c>
      <c r="AL68" s="3">
        <f>IFERROR(VLOOKUP(AJ68,SEMANAS!$B$1:$D$301,2,0),0)</f>
        <v>29</v>
      </c>
      <c r="AM68" s="220">
        <f t="shared" si="14"/>
        <v>1400</v>
      </c>
      <c r="AN68" s="218">
        <f>IFERROR(VLOOKUP(D68,#REF!,6,0),0)</f>
        <v>0</v>
      </c>
      <c r="AO68" s="218">
        <f>IFERROR(VLOOKUP(D68,#REF!,7,0),0)</f>
        <v>0</v>
      </c>
      <c r="AP68" s="206">
        <f t="shared" si="15"/>
        <v>44601</v>
      </c>
      <c r="AQ68" s="206">
        <f t="shared" si="16"/>
        <v>44631</v>
      </c>
    </row>
    <row r="69" spans="1:43" x14ac:dyDescent="0.25">
      <c r="A69" s="20" t="s">
        <v>209</v>
      </c>
      <c r="B69" s="20" t="s">
        <v>109</v>
      </c>
      <c r="C69" s="20" t="s">
        <v>405</v>
      </c>
      <c r="D69" s="20" t="str">
        <f t="shared" si="17"/>
        <v>Pintura Interna - 1ªdmãoPAV3</v>
      </c>
      <c r="E69" s="20" t="s">
        <v>26</v>
      </c>
      <c r="F69" s="20" t="s">
        <v>54</v>
      </c>
      <c r="G69" s="65">
        <v>5</v>
      </c>
      <c r="H69" s="18">
        <v>44622</v>
      </c>
      <c r="I69" s="18">
        <v>44629</v>
      </c>
      <c r="J69" s="17"/>
      <c r="K69" s="17"/>
      <c r="L69" s="196">
        <v>14799.65</v>
      </c>
      <c r="M69" s="21">
        <v>0</v>
      </c>
      <c r="N69" s="20"/>
      <c r="O69" s="20"/>
      <c r="P69" s="194">
        <v>0</v>
      </c>
      <c r="Q69" s="19" t="s">
        <v>84</v>
      </c>
      <c r="R69" s="19" t="s">
        <v>183</v>
      </c>
      <c r="S69" s="19" t="s">
        <v>199</v>
      </c>
      <c r="T69" s="19" t="s">
        <v>110</v>
      </c>
      <c r="U69" s="19" t="s">
        <v>34</v>
      </c>
      <c r="V69" s="225">
        <v>476.74</v>
      </c>
      <c r="W69" s="19" t="s">
        <v>29</v>
      </c>
      <c r="X69" s="214">
        <f t="shared" si="18"/>
        <v>9.6436842223685728E-3</v>
      </c>
      <c r="Y69" s="6"/>
      <c r="Z69" s="6"/>
      <c r="AA69" s="6">
        <f>IFERROR(VLOOKUP(H69,SEMANAS!$B$1:$D$301,2,0),0)</f>
        <v>29</v>
      </c>
      <c r="AB69" s="6">
        <f>IFERROR(VLOOKUP(I69,SEMANAS!$B$1:$D$301,2,0),0)</f>
        <v>30</v>
      </c>
      <c r="AC69" s="16">
        <f t="shared" si="19"/>
        <v>0</v>
      </c>
      <c r="AD69" s="10"/>
      <c r="AE69" s="10"/>
      <c r="AF69" s="10">
        <f>IFERROR(VLOOKUP(J69,SEMANAS!$B$1:$D$301,2,0),0)</f>
        <v>0</v>
      </c>
      <c r="AG69" s="10">
        <f>IFERROR(VLOOKUP(K69,SEMANAS!$B$1:$D$301,2,0),0)</f>
        <v>0</v>
      </c>
      <c r="AH69" s="11">
        <f t="shared" si="20"/>
        <v>0</v>
      </c>
      <c r="AI69" s="206">
        <f>IF(P69&gt;0,"executado",VLOOKUP(D69,'REPLAN - Agilean'!$A$6:$C$127,2,0))</f>
        <v>44628</v>
      </c>
      <c r="AJ69" s="206">
        <f>IF(P69&gt;0,"executado",VLOOKUP(D69,'REPLAN - Agilean'!$A$6:$C$127,3,0))</f>
        <v>44634</v>
      </c>
      <c r="AK69" s="3">
        <f>IFERROR(VLOOKUP(AI69,SEMANAS!$B$1:$D$301,2,0),0)</f>
        <v>30</v>
      </c>
      <c r="AL69" s="3">
        <f>IFERROR(VLOOKUP(AJ69,SEMANAS!$B$1:$D$301,2,0),0)</f>
        <v>31</v>
      </c>
      <c r="AM69" s="220">
        <f t="shared" si="14"/>
        <v>14799.65</v>
      </c>
      <c r="AN69" s="218">
        <f>IFERROR(VLOOKUP(D69,#REF!,6,0),0)</f>
        <v>0</v>
      </c>
      <c r="AO69" s="218">
        <f>IFERROR(VLOOKUP(D69,#REF!,7,0),0)</f>
        <v>0</v>
      </c>
      <c r="AP69" s="206">
        <f t="shared" si="15"/>
        <v>44613</v>
      </c>
      <c r="AQ69" s="206">
        <f t="shared" si="16"/>
        <v>44643</v>
      </c>
    </row>
    <row r="70" spans="1:43" x14ac:dyDescent="0.25">
      <c r="A70" s="20" t="s">
        <v>210</v>
      </c>
      <c r="B70" s="20" t="s">
        <v>120</v>
      </c>
      <c r="C70" s="20" t="s">
        <v>408</v>
      </c>
      <c r="D70" s="20" t="str">
        <f t="shared" si="17"/>
        <v>Esquadria de Ferro CirculaçãoPAV3</v>
      </c>
      <c r="E70" s="20" t="s">
        <v>26</v>
      </c>
      <c r="F70" s="20" t="s">
        <v>54</v>
      </c>
      <c r="G70" s="65">
        <v>2</v>
      </c>
      <c r="H70" s="18">
        <v>44622</v>
      </c>
      <c r="I70" s="18">
        <v>44624</v>
      </c>
      <c r="J70" s="17"/>
      <c r="K70" s="17"/>
      <c r="L70" s="196">
        <v>2054.02</v>
      </c>
      <c r="M70" s="21">
        <v>0</v>
      </c>
      <c r="N70" s="20"/>
      <c r="O70" s="20"/>
      <c r="P70" s="194">
        <v>0</v>
      </c>
      <c r="Q70" s="19" t="s">
        <v>121</v>
      </c>
      <c r="R70" s="19" t="s">
        <v>183</v>
      </c>
      <c r="S70" s="19" t="s">
        <v>211</v>
      </c>
      <c r="T70" s="19" t="s">
        <v>121</v>
      </c>
      <c r="U70" s="19" t="s">
        <v>34</v>
      </c>
      <c r="V70" s="225">
        <v>4.17</v>
      </c>
      <c r="W70" s="19" t="s">
        <v>91</v>
      </c>
      <c r="X70" s="214">
        <f t="shared" si="18"/>
        <v>1.3384316701022993E-3</v>
      </c>
      <c r="Y70" s="6"/>
      <c r="Z70" s="6"/>
      <c r="AA70" s="6">
        <f>IFERROR(VLOOKUP(H70,SEMANAS!$B$1:$D$301,2,0),0)</f>
        <v>29</v>
      </c>
      <c r="AB70" s="6">
        <f>IFERROR(VLOOKUP(I70,SEMANAS!$B$1:$D$301,2,0),0)</f>
        <v>29</v>
      </c>
      <c r="AC70" s="16">
        <f t="shared" si="19"/>
        <v>0</v>
      </c>
      <c r="AD70" s="10"/>
      <c r="AE70" s="10"/>
      <c r="AF70" s="10">
        <f>IFERROR(VLOOKUP(J70,SEMANAS!$B$1:$D$301,2,0),0)</f>
        <v>0</v>
      </c>
      <c r="AG70" s="10">
        <f>IFERROR(VLOOKUP(K70,SEMANAS!$B$1:$D$301,2,0),0)</f>
        <v>0</v>
      </c>
      <c r="AH70" s="11">
        <f t="shared" si="20"/>
        <v>0</v>
      </c>
      <c r="AI70" s="206">
        <f>IF(P70&gt;0,"executado",VLOOKUP(D70,'REPLAN - Agilean'!$A$6:$C$127,2,0))</f>
        <v>44630</v>
      </c>
      <c r="AJ70" s="206">
        <f>IF(P70&gt;0,"executado",VLOOKUP(D70,'REPLAN - Agilean'!$A$6:$C$127,3,0))</f>
        <v>44634</v>
      </c>
      <c r="AK70" s="3">
        <f>IFERROR(VLOOKUP(AI70,SEMANAS!$B$1:$D$301,2,0),0)</f>
        <v>30</v>
      </c>
      <c r="AL70" s="3">
        <f>IFERROR(VLOOKUP(AJ70,SEMANAS!$B$1:$D$301,2,0),0)</f>
        <v>31</v>
      </c>
      <c r="AM70" s="220">
        <f t="shared" si="14"/>
        <v>2054.02</v>
      </c>
      <c r="AN70" s="218">
        <f>IFERROR(VLOOKUP(D70,#REF!,6,0),0)</f>
        <v>0</v>
      </c>
      <c r="AO70" s="218">
        <f>IFERROR(VLOOKUP(D70,#REF!,7,0),0)</f>
        <v>0</v>
      </c>
      <c r="AP70" s="206">
        <f t="shared" si="15"/>
        <v>44615</v>
      </c>
      <c r="AQ70" s="206">
        <f t="shared" si="16"/>
        <v>44645</v>
      </c>
    </row>
    <row r="71" spans="1:43" x14ac:dyDescent="0.25">
      <c r="A71" s="20" t="s">
        <v>212</v>
      </c>
      <c r="B71" s="20" t="s">
        <v>112</v>
      </c>
      <c r="C71" s="20" t="s">
        <v>406</v>
      </c>
      <c r="D71" s="20" t="str">
        <f t="shared" si="17"/>
        <v>LouçasPAV3</v>
      </c>
      <c r="E71" s="20" t="s">
        <v>26</v>
      </c>
      <c r="F71" s="20" t="s">
        <v>54</v>
      </c>
      <c r="G71" s="65">
        <v>5</v>
      </c>
      <c r="H71" s="18">
        <v>44629</v>
      </c>
      <c r="I71" s="18">
        <v>44636</v>
      </c>
      <c r="J71" s="17"/>
      <c r="K71" s="17"/>
      <c r="L71" s="196">
        <v>5236.0200000000004</v>
      </c>
      <c r="M71" s="21">
        <v>0</v>
      </c>
      <c r="N71" s="20"/>
      <c r="O71" s="20"/>
      <c r="P71" s="194">
        <v>0</v>
      </c>
      <c r="Q71" s="19" t="s">
        <v>113</v>
      </c>
      <c r="R71" s="19" t="s">
        <v>183</v>
      </c>
      <c r="S71" s="19" t="s">
        <v>213</v>
      </c>
      <c r="T71" s="19" t="s">
        <v>113</v>
      </c>
      <c r="U71" s="19" t="s">
        <v>34</v>
      </c>
      <c r="V71" s="225">
        <v>16</v>
      </c>
      <c r="W71" s="19" t="s">
        <v>91</v>
      </c>
      <c r="X71" s="214">
        <f t="shared" si="18"/>
        <v>3.411872811992601E-3</v>
      </c>
      <c r="Y71" s="6"/>
      <c r="Z71" s="6"/>
      <c r="AA71" s="6">
        <f>IFERROR(VLOOKUP(H71,SEMANAS!$B$1:$D$301,2,0),0)</f>
        <v>30</v>
      </c>
      <c r="AB71" s="6">
        <f>IFERROR(VLOOKUP(I71,SEMANAS!$B$1:$D$301,2,0),0)</f>
        <v>31</v>
      </c>
      <c r="AC71" s="16">
        <f t="shared" si="19"/>
        <v>0</v>
      </c>
      <c r="AD71" s="10"/>
      <c r="AE71" s="10"/>
      <c r="AF71" s="10">
        <f>IFERROR(VLOOKUP(J71,SEMANAS!$B$1:$D$301,2,0),0)</f>
        <v>0</v>
      </c>
      <c r="AG71" s="10">
        <f>IFERROR(VLOOKUP(K71,SEMANAS!$B$1:$D$301,2,0),0)</f>
        <v>0</v>
      </c>
      <c r="AH71" s="11">
        <f t="shared" si="20"/>
        <v>0</v>
      </c>
      <c r="AI71" s="206">
        <f>IF(P71&gt;0,"executado",VLOOKUP(D71,'REPLAN - Agilean'!$A$6:$C$127,2,0))</f>
        <v>44637</v>
      </c>
      <c r="AJ71" s="206">
        <f>IF(P71&gt;0,"executado",VLOOKUP(D71,'REPLAN - Agilean'!$A$6:$C$127,3,0))</f>
        <v>44641</v>
      </c>
      <c r="AK71" s="3">
        <f>IFERROR(VLOOKUP(AI71,SEMANAS!$B$1:$D$301,2,0),0)</f>
        <v>31</v>
      </c>
      <c r="AL71" s="3">
        <f>IFERROR(VLOOKUP(AJ71,SEMANAS!$B$1:$D$301,2,0),0)</f>
        <v>32</v>
      </c>
      <c r="AM71" s="220">
        <f t="shared" si="14"/>
        <v>5236.0200000000004</v>
      </c>
      <c r="AN71" s="218">
        <f>IFERROR(VLOOKUP(D71,#REF!,6,0),0)</f>
        <v>0</v>
      </c>
      <c r="AO71" s="218">
        <f>IFERROR(VLOOKUP(D71,#REF!,7,0),0)</f>
        <v>0</v>
      </c>
      <c r="AP71" s="206">
        <f t="shared" si="15"/>
        <v>44622</v>
      </c>
      <c r="AQ71" s="206">
        <f t="shared" si="16"/>
        <v>44652</v>
      </c>
    </row>
    <row r="72" spans="1:43" x14ac:dyDescent="0.25">
      <c r="A72" s="20" t="s">
        <v>214</v>
      </c>
      <c r="B72" s="20" t="s">
        <v>116</v>
      </c>
      <c r="C72" s="20" t="s">
        <v>407</v>
      </c>
      <c r="D72" s="20" t="str">
        <f t="shared" si="17"/>
        <v>Portas de MadeiraPAV3</v>
      </c>
      <c r="E72" s="20" t="s">
        <v>26</v>
      </c>
      <c r="F72" s="20" t="s">
        <v>54</v>
      </c>
      <c r="G72" s="65">
        <v>5</v>
      </c>
      <c r="H72" s="18">
        <v>44636</v>
      </c>
      <c r="I72" s="18">
        <v>44643</v>
      </c>
      <c r="J72" s="17"/>
      <c r="K72" s="17"/>
      <c r="L72" s="196">
        <v>10400</v>
      </c>
      <c r="M72" s="21">
        <v>0</v>
      </c>
      <c r="N72" s="20"/>
      <c r="O72" s="20"/>
      <c r="P72" s="194">
        <v>0</v>
      </c>
      <c r="Q72" s="19" t="s">
        <v>117</v>
      </c>
      <c r="R72" s="19" t="s">
        <v>183</v>
      </c>
      <c r="S72" s="19" t="s">
        <v>215</v>
      </c>
      <c r="T72" s="19" t="s">
        <v>117</v>
      </c>
      <c r="U72" s="19" t="s">
        <v>34</v>
      </c>
      <c r="V72" s="225">
        <v>20</v>
      </c>
      <c r="W72" s="19" t="s">
        <v>123</v>
      </c>
      <c r="X72" s="214">
        <f t="shared" si="18"/>
        <v>6.7768032293083385E-3</v>
      </c>
      <c r="Y72" s="6"/>
      <c r="Z72" s="6"/>
      <c r="AA72" s="6">
        <f>IFERROR(VLOOKUP(H72,SEMANAS!$B$1:$D$301,2,0),0)</f>
        <v>31</v>
      </c>
      <c r="AB72" s="6">
        <f>IFERROR(VLOOKUP(I72,SEMANAS!$B$1:$D$301,2,0),0)</f>
        <v>32</v>
      </c>
      <c r="AC72" s="16">
        <f t="shared" si="19"/>
        <v>0</v>
      </c>
      <c r="AD72" s="10"/>
      <c r="AE72" s="10"/>
      <c r="AF72" s="10">
        <f>IFERROR(VLOOKUP(J72,SEMANAS!$B$1:$D$301,2,0),0)</f>
        <v>0</v>
      </c>
      <c r="AG72" s="10">
        <f>IFERROR(VLOOKUP(K72,SEMANAS!$B$1:$D$301,2,0),0)</f>
        <v>0</v>
      </c>
      <c r="AH72" s="11">
        <f t="shared" si="20"/>
        <v>0</v>
      </c>
      <c r="AI72" s="206">
        <f>IF(P72&gt;0,"executado",VLOOKUP(D72,'REPLAN - Agilean'!$A$6:$C$127,2,0))</f>
        <v>44642</v>
      </c>
      <c r="AJ72" s="206">
        <f>IF(P72&gt;0,"executado",VLOOKUP(D72,'REPLAN - Agilean'!$A$6:$C$127,3,0))</f>
        <v>44644</v>
      </c>
      <c r="AK72" s="3">
        <f>IFERROR(VLOOKUP(AI72,SEMANAS!$B$1:$D$301,2,0),0)</f>
        <v>32</v>
      </c>
      <c r="AL72" s="3">
        <f>IFERROR(VLOOKUP(AJ72,SEMANAS!$B$1:$D$301,2,0),0)</f>
        <v>32</v>
      </c>
      <c r="AM72" s="220">
        <f t="shared" si="14"/>
        <v>10400</v>
      </c>
      <c r="AN72" s="218">
        <f>IFERROR(VLOOKUP(D72,#REF!,6,0),0)</f>
        <v>0</v>
      </c>
      <c r="AO72" s="218">
        <f>IFERROR(VLOOKUP(D72,#REF!,7,0),0)</f>
        <v>0</v>
      </c>
      <c r="AP72" s="206">
        <f t="shared" si="15"/>
        <v>44627</v>
      </c>
      <c r="AQ72" s="206">
        <f t="shared" si="16"/>
        <v>44657</v>
      </c>
    </row>
    <row r="73" spans="1:43" x14ac:dyDescent="0.25">
      <c r="A73" s="20" t="s">
        <v>216</v>
      </c>
      <c r="B73" s="20" t="s">
        <v>125</v>
      </c>
      <c r="C73" s="20" t="s">
        <v>409</v>
      </c>
      <c r="D73" s="20" t="str">
        <f t="shared" si="17"/>
        <v>Piso Laminado + RodapéPAV3</v>
      </c>
      <c r="E73" s="20" t="s">
        <v>26</v>
      </c>
      <c r="F73" s="20" t="s">
        <v>54</v>
      </c>
      <c r="G73" s="65">
        <v>5</v>
      </c>
      <c r="H73" s="18">
        <v>44643</v>
      </c>
      <c r="I73" s="18">
        <v>44650</v>
      </c>
      <c r="J73" s="17"/>
      <c r="K73" s="17"/>
      <c r="L73" s="196">
        <v>13171.26</v>
      </c>
      <c r="M73" s="21">
        <v>0</v>
      </c>
      <c r="N73" s="20"/>
      <c r="O73" s="20"/>
      <c r="P73" s="194">
        <v>0</v>
      </c>
      <c r="Q73" s="19" t="s">
        <v>126</v>
      </c>
      <c r="R73" s="19" t="s">
        <v>183</v>
      </c>
      <c r="S73" s="19" t="s">
        <v>217</v>
      </c>
      <c r="T73" s="19" t="s">
        <v>126</v>
      </c>
      <c r="U73" s="19" t="s">
        <v>34</v>
      </c>
      <c r="V73" s="225">
        <v>80.88</v>
      </c>
      <c r="W73" s="19" t="s">
        <v>29</v>
      </c>
      <c r="X73" s="214">
        <f t="shared" si="18"/>
        <v>8.5825997405826679E-3</v>
      </c>
      <c r="Y73" s="6"/>
      <c r="Z73" s="6"/>
      <c r="AA73" s="6">
        <f>IFERROR(VLOOKUP(H73,SEMANAS!$B$1:$D$301,2,0),0)</f>
        <v>32</v>
      </c>
      <c r="AB73" s="6">
        <f>IFERROR(VLOOKUP(I73,SEMANAS!$B$1:$D$301,2,0),0)</f>
        <v>33</v>
      </c>
      <c r="AC73" s="16">
        <f t="shared" si="19"/>
        <v>0</v>
      </c>
      <c r="AD73" s="10"/>
      <c r="AE73" s="10"/>
      <c r="AF73" s="10">
        <f>IFERROR(VLOOKUP(J73,SEMANAS!$B$1:$D$301,2,0),0)</f>
        <v>0</v>
      </c>
      <c r="AG73" s="10">
        <f>IFERROR(VLOOKUP(K73,SEMANAS!$B$1:$D$301,2,0),0)</f>
        <v>0</v>
      </c>
      <c r="AH73" s="11">
        <f t="shared" si="20"/>
        <v>0</v>
      </c>
      <c r="AI73" s="206">
        <f>IF(P73&gt;0,"executado",VLOOKUP(D73,'REPLAN - Agilean'!$A$6:$C$127,2,0))</f>
        <v>44656</v>
      </c>
      <c r="AJ73" s="206">
        <f>IF(P73&gt;0,"executado",VLOOKUP(D73,'REPLAN - Agilean'!$A$6:$C$127,3,0))</f>
        <v>44662</v>
      </c>
      <c r="AK73" s="3">
        <f>IFERROR(VLOOKUP(AI73,SEMANAS!$B$1:$D$301,2,0),0)</f>
        <v>34</v>
      </c>
      <c r="AL73" s="3">
        <f>IFERROR(VLOOKUP(AJ73,SEMANAS!$B$1:$D$301,2,0),0)</f>
        <v>35</v>
      </c>
      <c r="AM73" s="220">
        <f t="shared" si="14"/>
        <v>13171.26</v>
      </c>
      <c r="AN73" s="218">
        <f>IFERROR(VLOOKUP(D73,#REF!,6,0),0)</f>
        <v>0</v>
      </c>
      <c r="AO73" s="218">
        <f>IFERROR(VLOOKUP(D73,#REF!,7,0),0)</f>
        <v>0</v>
      </c>
      <c r="AP73" s="206">
        <f t="shared" si="15"/>
        <v>44641</v>
      </c>
      <c r="AQ73" s="206">
        <f t="shared" si="16"/>
        <v>44671</v>
      </c>
    </row>
    <row r="74" spans="1:43" x14ac:dyDescent="0.25">
      <c r="A74" s="20" t="s">
        <v>218</v>
      </c>
      <c r="B74" s="20" t="s">
        <v>129</v>
      </c>
      <c r="C74" s="20" t="s">
        <v>410</v>
      </c>
      <c r="D74" s="20" t="str">
        <f t="shared" si="17"/>
        <v>MetaisPAV3</v>
      </c>
      <c r="E74" s="20" t="s">
        <v>26</v>
      </c>
      <c r="F74" s="20" t="s">
        <v>54</v>
      </c>
      <c r="G74" s="65">
        <v>2</v>
      </c>
      <c r="H74" s="18">
        <v>44655</v>
      </c>
      <c r="I74" s="18">
        <v>44657</v>
      </c>
      <c r="J74" s="17"/>
      <c r="K74" s="17"/>
      <c r="L74" s="196">
        <v>1340.04</v>
      </c>
      <c r="M74" s="21">
        <v>0</v>
      </c>
      <c r="N74" s="20"/>
      <c r="O74" s="20"/>
      <c r="P74" s="194">
        <v>0</v>
      </c>
      <c r="Q74" s="19" t="s">
        <v>130</v>
      </c>
      <c r="R74" s="19" t="s">
        <v>183</v>
      </c>
      <c r="S74" s="19" t="s">
        <v>219</v>
      </c>
      <c r="T74" s="19" t="s">
        <v>130</v>
      </c>
      <c r="U74" s="19" t="s">
        <v>34</v>
      </c>
      <c r="V74" s="225">
        <v>12</v>
      </c>
      <c r="W74" s="19" t="s">
        <v>91</v>
      </c>
      <c r="X74" s="214">
        <f t="shared" si="18"/>
        <v>8.7319109609637949E-4</v>
      </c>
      <c r="Y74" s="6"/>
      <c r="Z74" s="6"/>
      <c r="AA74" s="6">
        <f>IFERROR(VLOOKUP(H74,SEMANAS!$B$1:$D$301,2,0),0)</f>
        <v>34</v>
      </c>
      <c r="AB74" s="6">
        <f>IFERROR(VLOOKUP(I74,SEMANAS!$B$1:$D$301,2,0),0)</f>
        <v>34</v>
      </c>
      <c r="AC74" s="16">
        <f t="shared" si="19"/>
        <v>0</v>
      </c>
      <c r="AD74" s="10"/>
      <c r="AE74" s="10"/>
      <c r="AF74" s="10">
        <f>IFERROR(VLOOKUP(J74,SEMANAS!$B$1:$D$301,2,0),0)</f>
        <v>0</v>
      </c>
      <c r="AG74" s="10">
        <f>IFERROR(VLOOKUP(K74,SEMANAS!$B$1:$D$301,2,0),0)</f>
        <v>0</v>
      </c>
      <c r="AH74" s="11">
        <f t="shared" si="20"/>
        <v>0</v>
      </c>
      <c r="AI74" s="206">
        <f>IF(P74&gt;0,"executado",VLOOKUP(D74,'REPLAN - Agilean'!$A$6:$C$127,2,0))</f>
        <v>44644</v>
      </c>
      <c r="AJ74" s="206">
        <f>IF(P74&gt;0,"executado",VLOOKUP(D74,'REPLAN - Agilean'!$A$6:$C$127,3,0))</f>
        <v>44648</v>
      </c>
      <c r="AK74" s="3">
        <f>IFERROR(VLOOKUP(AI74,SEMANAS!$B$1:$D$301,2,0),0)</f>
        <v>32</v>
      </c>
      <c r="AL74" s="3">
        <f>IFERROR(VLOOKUP(AJ74,SEMANAS!$B$1:$D$301,2,0),0)</f>
        <v>33</v>
      </c>
      <c r="AM74" s="220">
        <f t="shared" si="14"/>
        <v>1340.04</v>
      </c>
      <c r="AN74" s="218">
        <f>IFERROR(VLOOKUP(D74,#REF!,6,0),0)</f>
        <v>0</v>
      </c>
      <c r="AO74" s="218">
        <f>IFERROR(VLOOKUP(D74,#REF!,7,0),0)</f>
        <v>0</v>
      </c>
      <c r="AP74" s="206">
        <f t="shared" si="15"/>
        <v>44629</v>
      </c>
      <c r="AQ74" s="206">
        <f t="shared" si="16"/>
        <v>44659</v>
      </c>
    </row>
    <row r="75" spans="1:43" x14ac:dyDescent="0.25">
      <c r="A75" s="20" t="s">
        <v>220</v>
      </c>
      <c r="B75" s="20" t="s">
        <v>133</v>
      </c>
      <c r="C75" s="20" t="s">
        <v>411</v>
      </c>
      <c r="D75" s="20" t="str">
        <f t="shared" si="17"/>
        <v>Acabamentos ElétricosPAV3</v>
      </c>
      <c r="E75" s="20" t="s">
        <v>26</v>
      </c>
      <c r="F75" s="20" t="s">
        <v>54</v>
      </c>
      <c r="G75" s="65">
        <v>2</v>
      </c>
      <c r="H75" s="18">
        <v>44655</v>
      </c>
      <c r="I75" s="18">
        <v>44657</v>
      </c>
      <c r="J75" s="17"/>
      <c r="K75" s="17"/>
      <c r="L75" s="196">
        <v>0</v>
      </c>
      <c r="M75" s="21">
        <v>0</v>
      </c>
      <c r="N75" s="20"/>
      <c r="O75" s="20"/>
      <c r="P75" s="194">
        <v>0</v>
      </c>
      <c r="Q75" s="19" t="s">
        <v>84</v>
      </c>
      <c r="R75" s="19" t="s">
        <v>183</v>
      </c>
      <c r="S75" s="19" t="s">
        <v>199</v>
      </c>
      <c r="T75" s="19" t="s">
        <v>134</v>
      </c>
      <c r="U75" s="19" t="s">
        <v>34</v>
      </c>
      <c r="V75" s="225">
        <v>4</v>
      </c>
      <c r="W75" s="19" t="s">
        <v>95</v>
      </c>
      <c r="X75" s="214">
        <f t="shared" si="18"/>
        <v>0</v>
      </c>
      <c r="Y75" s="6"/>
      <c r="Z75" s="6"/>
      <c r="AA75" s="6">
        <f>IFERROR(VLOOKUP(H75,SEMANAS!$B$1:$D$301,2,0),0)</f>
        <v>34</v>
      </c>
      <c r="AB75" s="6">
        <f>IFERROR(VLOOKUP(I75,SEMANAS!$B$1:$D$301,2,0),0)</f>
        <v>34</v>
      </c>
      <c r="AC75" s="16">
        <f t="shared" si="19"/>
        <v>0</v>
      </c>
      <c r="AD75" s="10"/>
      <c r="AE75" s="10"/>
      <c r="AF75" s="10">
        <f>IFERROR(VLOOKUP(J75,SEMANAS!$B$1:$D$301,2,0),0)</f>
        <v>0</v>
      </c>
      <c r="AG75" s="10">
        <f>IFERROR(VLOOKUP(K75,SEMANAS!$B$1:$D$301,2,0),0)</f>
        <v>0</v>
      </c>
      <c r="AH75" s="11">
        <f t="shared" si="20"/>
        <v>0</v>
      </c>
      <c r="AI75" s="206">
        <f>IF(P75&gt;0,"executado",VLOOKUP(D75,'REPLAN - Agilean'!$A$6:$C$127,2,0))</f>
        <v>44644</v>
      </c>
      <c r="AJ75" s="206">
        <f>IF(P75&gt;0,"executado",VLOOKUP(D75,'REPLAN - Agilean'!$A$6:$C$127,3,0))</f>
        <v>44648</v>
      </c>
      <c r="AK75" s="3">
        <f>IFERROR(VLOOKUP(AI75,SEMANAS!$B$1:$D$301,2,0),0)</f>
        <v>32</v>
      </c>
      <c r="AL75" s="3">
        <f>IFERROR(VLOOKUP(AJ75,SEMANAS!$B$1:$D$301,2,0),0)</f>
        <v>33</v>
      </c>
      <c r="AM75" s="220">
        <f t="shared" si="14"/>
        <v>0</v>
      </c>
      <c r="AN75" s="218">
        <f>IFERROR(VLOOKUP(D75,#REF!,6,0),0)</f>
        <v>0</v>
      </c>
      <c r="AO75" s="218">
        <f>IFERROR(VLOOKUP(D75,#REF!,7,0),0)</f>
        <v>0</v>
      </c>
      <c r="AP75" s="206">
        <f t="shared" si="15"/>
        <v>44629</v>
      </c>
      <c r="AQ75" s="206">
        <f t="shared" si="16"/>
        <v>44659</v>
      </c>
    </row>
    <row r="76" spans="1:43" x14ac:dyDescent="0.25">
      <c r="A76" s="20" t="s">
        <v>221</v>
      </c>
      <c r="B76" s="20" t="s">
        <v>136</v>
      </c>
      <c r="C76" s="20" t="s">
        <v>412</v>
      </c>
      <c r="D76" s="20" t="str">
        <f t="shared" si="17"/>
        <v>Pintura FinalPAV3</v>
      </c>
      <c r="E76" s="20" t="s">
        <v>26</v>
      </c>
      <c r="F76" s="20" t="s">
        <v>54</v>
      </c>
      <c r="G76" s="65">
        <v>5</v>
      </c>
      <c r="H76" s="18">
        <v>44664</v>
      </c>
      <c r="I76" s="18">
        <v>44671</v>
      </c>
      <c r="J76" s="17"/>
      <c r="K76" s="17"/>
      <c r="L76" s="196">
        <v>3687.38</v>
      </c>
      <c r="M76" s="21">
        <v>0</v>
      </c>
      <c r="N76" s="20"/>
      <c r="O76" s="20"/>
      <c r="P76" s="194">
        <v>0</v>
      </c>
      <c r="Q76" s="19" t="s">
        <v>84</v>
      </c>
      <c r="R76" s="19" t="s">
        <v>183</v>
      </c>
      <c r="S76" s="19" t="s">
        <v>199</v>
      </c>
      <c r="T76" s="19" t="s">
        <v>137</v>
      </c>
      <c r="U76" s="19" t="s">
        <v>34</v>
      </c>
      <c r="V76" s="225">
        <v>614.55999999999995</v>
      </c>
      <c r="W76" s="19" t="s">
        <v>29</v>
      </c>
      <c r="X76" s="214">
        <f t="shared" si="18"/>
        <v>2.4027546818929791E-3</v>
      </c>
      <c r="Y76" s="6"/>
      <c r="Z76" s="6"/>
      <c r="AA76" s="6">
        <f>IFERROR(VLOOKUP(H76,SEMANAS!$B$1:$D$301,2,0),0)</f>
        <v>35</v>
      </c>
      <c r="AB76" s="6">
        <f>IFERROR(VLOOKUP(I76,SEMANAS!$B$1:$D$301,2,0),0)</f>
        <v>36</v>
      </c>
      <c r="AC76" s="16">
        <f t="shared" si="19"/>
        <v>0</v>
      </c>
      <c r="AD76" s="10"/>
      <c r="AE76" s="10"/>
      <c r="AF76" s="10">
        <f>IFERROR(VLOOKUP(J76,SEMANAS!$B$1:$D$301,2,0),0)</f>
        <v>0</v>
      </c>
      <c r="AG76" s="10">
        <f>IFERROR(VLOOKUP(K76,SEMANAS!$B$1:$D$301,2,0),0)</f>
        <v>0</v>
      </c>
      <c r="AH76" s="11">
        <f t="shared" si="20"/>
        <v>0</v>
      </c>
      <c r="AI76" s="206">
        <f>IF(P76&gt;0,"executado",VLOOKUP(D76,'REPLAN - Agilean'!$A$6:$C$127,2,0))</f>
        <v>44663</v>
      </c>
      <c r="AJ76" s="206">
        <f>IF(P76&gt;0,"executado",VLOOKUP(D76,'REPLAN - Agilean'!$A$6:$C$127,3,0))</f>
        <v>44669</v>
      </c>
      <c r="AK76" s="3">
        <f>IFERROR(VLOOKUP(AI76,SEMANAS!$B$1:$D$301,2,0),0)</f>
        <v>35</v>
      </c>
      <c r="AL76" s="3">
        <f>IFERROR(VLOOKUP(AJ76,SEMANAS!$B$1:$D$301,2,0),0)</f>
        <v>36</v>
      </c>
      <c r="AM76" s="220">
        <f t="shared" si="14"/>
        <v>3687.38</v>
      </c>
      <c r="AN76" s="218">
        <f>IFERROR(VLOOKUP(D76,#REF!,6,0),0)</f>
        <v>0</v>
      </c>
      <c r="AO76" s="218">
        <f>IFERROR(VLOOKUP(D76,#REF!,7,0),0)</f>
        <v>0</v>
      </c>
      <c r="AP76" s="206">
        <f t="shared" si="15"/>
        <v>44648</v>
      </c>
      <c r="AQ76" s="206">
        <f t="shared" si="16"/>
        <v>44678</v>
      </c>
    </row>
    <row r="77" spans="1:43" x14ac:dyDescent="0.25">
      <c r="A77" s="20" t="s">
        <v>222</v>
      </c>
      <c r="B77" s="20" t="s">
        <v>139</v>
      </c>
      <c r="C77" s="20" t="s">
        <v>413</v>
      </c>
      <c r="D77" s="20" t="str">
        <f t="shared" si="17"/>
        <v>Complementação e LimpezaPAV3</v>
      </c>
      <c r="E77" s="20" t="s">
        <v>26</v>
      </c>
      <c r="F77" s="20" t="s">
        <v>54</v>
      </c>
      <c r="G77" s="65">
        <v>2</v>
      </c>
      <c r="H77" s="18">
        <v>44676</v>
      </c>
      <c r="I77" s="18">
        <v>44678</v>
      </c>
      <c r="J77" s="17"/>
      <c r="K77" s="17"/>
      <c r="L77" s="196">
        <v>500</v>
      </c>
      <c r="M77" s="21">
        <v>0</v>
      </c>
      <c r="N77" s="20"/>
      <c r="O77" s="20"/>
      <c r="P77" s="194">
        <v>0</v>
      </c>
      <c r="Q77" s="19" t="s">
        <v>84</v>
      </c>
      <c r="R77" s="19" t="s">
        <v>183</v>
      </c>
      <c r="S77" s="19" t="s">
        <v>199</v>
      </c>
      <c r="T77" s="19" t="s">
        <v>140</v>
      </c>
      <c r="U77" s="19" t="s">
        <v>34</v>
      </c>
      <c r="V77" s="225">
        <v>0.25</v>
      </c>
      <c r="W77" s="19" t="s">
        <v>44</v>
      </c>
      <c r="X77" s="214">
        <f t="shared" si="18"/>
        <v>3.2580784756290089E-4</v>
      </c>
      <c r="Y77" s="6"/>
      <c r="Z77" s="6"/>
      <c r="AA77" s="6">
        <f>IFERROR(VLOOKUP(H77,SEMANAS!$B$1:$D$301,2,0),0)</f>
        <v>37</v>
      </c>
      <c r="AB77" s="6">
        <f>IFERROR(VLOOKUP(I77,SEMANAS!$B$1:$D$301,2,0),0)</f>
        <v>37</v>
      </c>
      <c r="AC77" s="16">
        <f t="shared" si="19"/>
        <v>0</v>
      </c>
      <c r="AD77" s="10"/>
      <c r="AE77" s="10"/>
      <c r="AF77" s="10">
        <f>IFERROR(VLOOKUP(J77,SEMANAS!$B$1:$D$301,2,0),0)</f>
        <v>0</v>
      </c>
      <c r="AG77" s="10">
        <f>IFERROR(VLOOKUP(K77,SEMANAS!$B$1:$D$301,2,0),0)</f>
        <v>0</v>
      </c>
      <c r="AH77" s="11">
        <f t="shared" si="20"/>
        <v>0</v>
      </c>
      <c r="AI77" s="206">
        <f>IF(P77&gt;0,"executado",VLOOKUP(D77,'REPLAN - Agilean'!$A$6:$C$127,2,0))</f>
        <v>44670</v>
      </c>
      <c r="AJ77" s="206">
        <f>IF(P77&gt;0,"executado",VLOOKUP(D77,'REPLAN - Agilean'!$A$6:$C$127,3,0))</f>
        <v>44672</v>
      </c>
      <c r="AK77" s="3">
        <f>IFERROR(VLOOKUP(AI77,SEMANAS!$B$1:$D$301,2,0),0)</f>
        <v>36</v>
      </c>
      <c r="AL77" s="3">
        <f>IFERROR(VLOOKUP(AJ77,SEMANAS!$B$1:$D$301,2,0),0)</f>
        <v>36</v>
      </c>
      <c r="AM77" s="220">
        <f t="shared" si="14"/>
        <v>500</v>
      </c>
      <c r="AN77" s="218">
        <f>IFERROR(VLOOKUP(D77,#REF!,6,0),0)</f>
        <v>0</v>
      </c>
      <c r="AO77" s="218">
        <f>IFERROR(VLOOKUP(D77,#REF!,7,0),0)</f>
        <v>0</v>
      </c>
      <c r="AP77" s="206">
        <f t="shared" si="15"/>
        <v>44655</v>
      </c>
      <c r="AQ77" s="206">
        <f t="shared" si="16"/>
        <v>44685</v>
      </c>
    </row>
    <row r="78" spans="1:43" x14ac:dyDescent="0.25">
      <c r="A78" s="20" t="s">
        <v>223</v>
      </c>
      <c r="B78" s="20" t="s">
        <v>224</v>
      </c>
      <c r="C78" s="20"/>
      <c r="D78" s="20" t="str">
        <f t="shared" si="17"/>
        <v>PAV4</v>
      </c>
      <c r="E78" s="20"/>
      <c r="F78" s="20"/>
      <c r="G78" s="65">
        <v>125</v>
      </c>
      <c r="H78" s="18">
        <v>44508</v>
      </c>
      <c r="I78" s="18">
        <v>44680</v>
      </c>
      <c r="J78" s="17"/>
      <c r="K78" s="17"/>
      <c r="L78" s="196"/>
      <c r="M78" s="21">
        <v>0</v>
      </c>
      <c r="N78" s="20"/>
      <c r="O78" s="20"/>
      <c r="P78" s="194">
        <v>0</v>
      </c>
      <c r="Q78" s="19"/>
      <c r="R78" s="19"/>
      <c r="S78" s="19" t="s">
        <v>51</v>
      </c>
      <c r="T78" s="19">
        <v>0</v>
      </c>
      <c r="U78" s="19">
        <v>0</v>
      </c>
      <c r="V78" s="225"/>
      <c r="W78" s="19"/>
      <c r="X78" s="214">
        <f t="shared" si="18"/>
        <v>0</v>
      </c>
      <c r="Y78" s="6"/>
      <c r="Z78" s="6"/>
      <c r="AA78" s="6">
        <f>IFERROR(VLOOKUP(H78,SEMANAS!$B$1:$D$301,2,0),0)</f>
        <v>13</v>
      </c>
      <c r="AB78" s="6">
        <f>IFERROR(VLOOKUP(I78,SEMANAS!$B$1:$D$301,2,0),0)</f>
        <v>37</v>
      </c>
      <c r="AC78" s="16">
        <f t="shared" si="19"/>
        <v>0</v>
      </c>
      <c r="AD78" s="10"/>
      <c r="AE78" s="10"/>
      <c r="AF78" s="10">
        <f>IFERROR(VLOOKUP(J78,SEMANAS!$B$1:$D$301,2,0),0)</f>
        <v>0</v>
      </c>
      <c r="AG78" s="10">
        <f>IFERROR(VLOOKUP(K78,SEMANAS!$B$1:$D$301,2,0),0)</f>
        <v>0</v>
      </c>
      <c r="AH78" s="11">
        <f t="shared" si="20"/>
        <v>0</v>
      </c>
      <c r="AI78" s="206">
        <f>IF(P78&gt;0,"executado",VLOOKUP(D78,'REPLAN - Agilean'!$A$6:$C$127,2,0))</f>
        <v>44508</v>
      </c>
      <c r="AJ78" s="206">
        <f>IF(P78&gt;0,"executado",VLOOKUP(D78,'REPLAN - Agilean'!$A$6:$C$127,3,0))</f>
        <v>44679</v>
      </c>
      <c r="AK78" s="3">
        <f>IFERROR(VLOOKUP(AI78,SEMANAS!$B$1:$D$301,2,0),0)</f>
        <v>13</v>
      </c>
      <c r="AL78" s="3">
        <f>IFERROR(VLOOKUP(AJ78,SEMANAS!$B$1:$D$301,2,0),0)</f>
        <v>37</v>
      </c>
      <c r="AM78" s="3">
        <f t="shared" ref="AM78:AM123" si="21">IF(AL78&lt;0,L78,0)</f>
        <v>0</v>
      </c>
      <c r="AN78" s="3">
        <f>IFERROR(VLOOKUP(D78,#REF!,6,0),0)</f>
        <v>0</v>
      </c>
      <c r="AO78" s="3"/>
      <c r="AP78" s="3"/>
      <c r="AQ78" s="3"/>
    </row>
    <row r="79" spans="1:43" x14ac:dyDescent="0.25">
      <c r="A79" s="20" t="s">
        <v>225</v>
      </c>
      <c r="B79" s="20" t="s">
        <v>53</v>
      </c>
      <c r="C79" s="20" t="s">
        <v>392</v>
      </c>
      <c r="D79" s="20" t="str">
        <f t="shared" si="17"/>
        <v>Alvenaria EstruturalPAV4</v>
      </c>
      <c r="E79" s="20" t="s">
        <v>26</v>
      </c>
      <c r="F79" s="20" t="s">
        <v>54</v>
      </c>
      <c r="G79" s="65">
        <v>5</v>
      </c>
      <c r="H79" s="18">
        <v>44508</v>
      </c>
      <c r="I79" s="18">
        <v>44512</v>
      </c>
      <c r="J79" s="17">
        <v>44515</v>
      </c>
      <c r="K79" s="17">
        <v>44519</v>
      </c>
      <c r="L79" s="196">
        <v>96851.74</v>
      </c>
      <c r="M79" s="21">
        <v>0</v>
      </c>
      <c r="N79" s="20"/>
      <c r="O79" s="20"/>
      <c r="P79" s="194">
        <v>1</v>
      </c>
      <c r="Q79" s="19" t="s">
        <v>55</v>
      </c>
      <c r="R79" s="19" t="s">
        <v>224</v>
      </c>
      <c r="S79" s="19" t="s">
        <v>226</v>
      </c>
      <c r="T79" s="19" t="s">
        <v>55</v>
      </c>
      <c r="U79" s="19" t="s">
        <v>34</v>
      </c>
      <c r="V79" s="225">
        <v>390.7</v>
      </c>
      <c r="W79" s="19" t="s">
        <v>29</v>
      </c>
      <c r="X79" s="214">
        <f t="shared" si="18"/>
        <v>6.3110113884243424E-2</v>
      </c>
      <c r="Y79" s="7"/>
      <c r="Z79" s="7">
        <v>1</v>
      </c>
      <c r="AA79" s="6">
        <f>IFERROR(VLOOKUP(H79,SEMANAS!$B$1:$D$301,2,0),0)</f>
        <v>13</v>
      </c>
      <c r="AB79" s="6">
        <f>IFERROR(VLOOKUP(I79,SEMANAS!$B$1:$D$301,2,0),0)</f>
        <v>13</v>
      </c>
      <c r="AC79" s="16">
        <f t="shared" si="19"/>
        <v>96851.74</v>
      </c>
      <c r="AD79" s="10">
        <f>K79-J79+1</f>
        <v>5</v>
      </c>
      <c r="AE79" s="10"/>
      <c r="AF79" s="10">
        <f>IFERROR(VLOOKUP(J79,SEMANAS!$B$1:$D$301,2,0),0)</f>
        <v>14</v>
      </c>
      <c r="AG79" s="10">
        <f>IFERROR(VLOOKUP(K79,SEMANAS!$B$1:$D$301,2,0),0)</f>
        <v>14</v>
      </c>
      <c r="AH79" s="11">
        <f t="shared" si="20"/>
        <v>96851.74</v>
      </c>
      <c r="AI79" s="206" t="str">
        <f>IF(P79&gt;0,"executado",VLOOKUP(D79,'REPLAN - Agilean'!$A$6:$C$127,2,0))</f>
        <v>executado</v>
      </c>
      <c r="AJ79" s="206" t="str">
        <f>IF(P79&gt;0,"executado",VLOOKUP(D79,'REPLAN - Agilean'!$A$6:$C$127,3,0))</f>
        <v>executado</v>
      </c>
      <c r="AK79" s="3">
        <f>IFERROR(VLOOKUP(AI79,SEMANAS!$B$1:$D$301,2,0),0)</f>
        <v>0</v>
      </c>
      <c r="AL79" s="3">
        <f>IFERROR(VLOOKUP(AJ79,SEMANAS!$B$1:$D$301,2,0),0)</f>
        <v>0</v>
      </c>
      <c r="AM79" s="220">
        <f t="shared" ref="AM79:AM100" si="22">IF(AL79&lt;=0,0,L79)</f>
        <v>0</v>
      </c>
      <c r="AN79" s="218">
        <f>IFERROR(VLOOKUP(D79,#REF!,6,0),0)</f>
        <v>0</v>
      </c>
      <c r="AO79" s="218">
        <f>IFERROR(VLOOKUP(D79,#REF!,7,0),0)</f>
        <v>0</v>
      </c>
      <c r="AP79" s="206" t="str">
        <f t="shared" ref="AP79:AP100" si="23">IF(AI79="executado","desembolsado",AI79-15)</f>
        <v>desembolsado</v>
      </c>
      <c r="AQ79" s="206" t="str">
        <f t="shared" ref="AQ79:AQ100" si="24">IF(AJ79="executado","desembolsado",AI79+15)</f>
        <v>desembolsado</v>
      </c>
    </row>
    <row r="80" spans="1:43" x14ac:dyDescent="0.25">
      <c r="A80" s="20" t="s">
        <v>227</v>
      </c>
      <c r="B80" s="20" t="s">
        <v>58</v>
      </c>
      <c r="C80" s="20" t="s">
        <v>393</v>
      </c>
      <c r="D80" s="20" t="str">
        <f t="shared" si="17"/>
        <v>Estrutura Moldado in LocoPAV4</v>
      </c>
      <c r="E80" s="20" t="s">
        <v>26</v>
      </c>
      <c r="F80" s="20" t="s">
        <v>54</v>
      </c>
      <c r="G80" s="65">
        <v>5</v>
      </c>
      <c r="H80" s="18">
        <v>44515</v>
      </c>
      <c r="I80" s="18">
        <v>44519</v>
      </c>
      <c r="J80" s="17">
        <v>44522</v>
      </c>
      <c r="K80" s="17">
        <v>44526</v>
      </c>
      <c r="L80" s="196">
        <v>68188.039999999994</v>
      </c>
      <c r="M80" s="21">
        <v>0</v>
      </c>
      <c r="N80" s="20"/>
      <c r="O80" s="20"/>
      <c r="P80" s="194">
        <v>1</v>
      </c>
      <c r="Q80" s="19" t="s">
        <v>59</v>
      </c>
      <c r="R80" s="19" t="s">
        <v>224</v>
      </c>
      <c r="S80" s="19" t="s">
        <v>228</v>
      </c>
      <c r="T80" s="19" t="s">
        <v>59</v>
      </c>
      <c r="U80" s="19" t="s">
        <v>34</v>
      </c>
      <c r="V80" s="225">
        <v>26.73</v>
      </c>
      <c r="W80" s="19" t="s">
        <v>35</v>
      </c>
      <c r="X80" s="214">
        <f t="shared" si="18"/>
        <v>4.4432397083865975E-2</v>
      </c>
      <c r="Y80" s="7"/>
      <c r="Z80" s="7">
        <v>1</v>
      </c>
      <c r="AA80" s="6">
        <f>IFERROR(VLOOKUP(H80,SEMANAS!$B$1:$D$301,2,0),0)</f>
        <v>14</v>
      </c>
      <c r="AB80" s="6">
        <f>IFERROR(VLOOKUP(I80,SEMANAS!$B$1:$D$301,2,0),0)</f>
        <v>14</v>
      </c>
      <c r="AC80" s="16">
        <f t="shared" si="19"/>
        <v>68188.039999999994</v>
      </c>
      <c r="AD80" s="10">
        <f>K80-J80+1</f>
        <v>5</v>
      </c>
      <c r="AE80" s="10"/>
      <c r="AF80" s="10">
        <f>IFERROR(VLOOKUP(J80,SEMANAS!$B$1:$D$301,2,0),0)</f>
        <v>15</v>
      </c>
      <c r="AG80" s="10">
        <f>IFERROR(VLOOKUP(K80,SEMANAS!$B$1:$D$301,2,0),0)</f>
        <v>15</v>
      </c>
      <c r="AH80" s="11">
        <f t="shared" si="20"/>
        <v>68188.039999999994</v>
      </c>
      <c r="AI80" s="206" t="str">
        <f>IF(P80&gt;0,"executado",VLOOKUP(D80,'REPLAN - Agilean'!$A$6:$C$127,2,0))</f>
        <v>executado</v>
      </c>
      <c r="AJ80" s="206" t="str">
        <f>IF(P80&gt;0,"executado",VLOOKUP(D80,'REPLAN - Agilean'!$A$6:$C$127,3,0))</f>
        <v>executado</v>
      </c>
      <c r="AK80" s="3">
        <f>IFERROR(VLOOKUP(AI80,SEMANAS!$B$1:$D$301,2,0),0)</f>
        <v>0</v>
      </c>
      <c r="AL80" s="3">
        <f>IFERROR(VLOOKUP(AJ80,SEMANAS!$B$1:$D$301,2,0),0)</f>
        <v>0</v>
      </c>
      <c r="AM80" s="220">
        <f t="shared" si="22"/>
        <v>0</v>
      </c>
      <c r="AN80" s="218">
        <f>IFERROR(VLOOKUP(D80,#REF!,6,0),0)</f>
        <v>0</v>
      </c>
      <c r="AO80" s="218">
        <f>IFERROR(VLOOKUP(D80,#REF!,7,0),0)</f>
        <v>0</v>
      </c>
      <c r="AP80" s="206" t="str">
        <f t="shared" si="23"/>
        <v>desembolsado</v>
      </c>
      <c r="AQ80" s="206" t="str">
        <f t="shared" si="24"/>
        <v>desembolsado</v>
      </c>
    </row>
    <row r="81" spans="1:43" x14ac:dyDescent="0.25">
      <c r="A81" s="20" t="s">
        <v>229</v>
      </c>
      <c r="B81" s="20" t="s">
        <v>62</v>
      </c>
      <c r="C81" s="20" t="s">
        <v>394</v>
      </c>
      <c r="D81" s="20" t="str">
        <f t="shared" si="17"/>
        <v>Instalações HidrossanitáriasPAV4</v>
      </c>
      <c r="E81" s="20" t="s">
        <v>26</v>
      </c>
      <c r="F81" s="20" t="s">
        <v>54</v>
      </c>
      <c r="G81" s="65">
        <v>5</v>
      </c>
      <c r="H81" s="18">
        <v>44522</v>
      </c>
      <c r="I81" s="18">
        <v>44526</v>
      </c>
      <c r="J81" s="17">
        <v>44515</v>
      </c>
      <c r="K81" s="17">
        <v>44519</v>
      </c>
      <c r="L81" s="196">
        <v>13455.89</v>
      </c>
      <c r="M81" s="21">
        <v>0</v>
      </c>
      <c r="N81" s="20"/>
      <c r="O81" s="20"/>
      <c r="P81" s="194">
        <v>1</v>
      </c>
      <c r="Q81" s="19" t="s">
        <v>63</v>
      </c>
      <c r="R81" s="19" t="s">
        <v>224</v>
      </c>
      <c r="S81" s="19" t="s">
        <v>230</v>
      </c>
      <c r="T81" s="19" t="s">
        <v>63</v>
      </c>
      <c r="U81" s="19" t="s">
        <v>34</v>
      </c>
      <c r="V81" s="225">
        <v>1</v>
      </c>
      <c r="W81" s="19" t="s">
        <v>65</v>
      </c>
      <c r="X81" s="214">
        <f t="shared" si="18"/>
        <v>8.7680691158863247E-3</v>
      </c>
      <c r="Y81" s="7"/>
      <c r="Z81" s="7">
        <v>1</v>
      </c>
      <c r="AA81" s="6">
        <f>IFERROR(VLOOKUP(H81,SEMANAS!$B$1:$D$301,2,0),0)</f>
        <v>15</v>
      </c>
      <c r="AB81" s="6">
        <f>IFERROR(VLOOKUP(I81,SEMANAS!$B$1:$D$301,2,0),0)</f>
        <v>15</v>
      </c>
      <c r="AC81" s="16">
        <f t="shared" si="19"/>
        <v>13455.89</v>
      </c>
      <c r="AD81" s="10">
        <f>K81-J81+1</f>
        <v>5</v>
      </c>
      <c r="AE81" s="10"/>
      <c r="AF81" s="10">
        <f>IFERROR(VLOOKUP(J81,SEMANAS!$B$1:$D$301,2,0),0)</f>
        <v>14</v>
      </c>
      <c r="AG81" s="10">
        <f>IFERROR(VLOOKUP(K81,SEMANAS!$B$1:$D$301,2,0),0)</f>
        <v>14</v>
      </c>
      <c r="AH81" s="11">
        <f t="shared" si="20"/>
        <v>13455.89</v>
      </c>
      <c r="AI81" s="206" t="str">
        <f>IF(P81&gt;0,"executado",VLOOKUP(D81,'REPLAN - Agilean'!$A$6:$C$127,2,0))</f>
        <v>executado</v>
      </c>
      <c r="AJ81" s="206" t="str">
        <f>IF(P81&gt;0,"executado",VLOOKUP(D81,'REPLAN - Agilean'!$A$6:$C$127,3,0))</f>
        <v>executado</v>
      </c>
      <c r="AK81" s="3">
        <f>IFERROR(VLOOKUP(AI81,SEMANAS!$B$1:$D$301,2,0),0)</f>
        <v>0</v>
      </c>
      <c r="AL81" s="3">
        <f>IFERROR(VLOOKUP(AJ81,SEMANAS!$B$1:$D$301,2,0),0)</f>
        <v>0</v>
      </c>
      <c r="AM81" s="220">
        <f t="shared" si="22"/>
        <v>0</v>
      </c>
      <c r="AN81" s="218">
        <f>IFERROR(VLOOKUP(D81,#REF!,6,0),0)</f>
        <v>0</v>
      </c>
      <c r="AO81" s="218">
        <f>IFERROR(VLOOKUP(D81,#REF!,7,0),0)</f>
        <v>0</v>
      </c>
      <c r="AP81" s="206" t="str">
        <f t="shared" si="23"/>
        <v>desembolsado</v>
      </c>
      <c r="AQ81" s="206" t="str">
        <f t="shared" si="24"/>
        <v>desembolsado</v>
      </c>
    </row>
    <row r="82" spans="1:43" x14ac:dyDescent="0.25">
      <c r="A82" s="20" t="s">
        <v>231</v>
      </c>
      <c r="B82" s="20" t="s">
        <v>67</v>
      </c>
      <c r="C82" s="20" t="s">
        <v>395</v>
      </c>
      <c r="D82" s="20" t="str">
        <f t="shared" si="17"/>
        <v>Reboco InternoPAV4</v>
      </c>
      <c r="E82" s="20" t="s">
        <v>26</v>
      </c>
      <c r="F82" s="20" t="s">
        <v>54</v>
      </c>
      <c r="G82" s="65">
        <v>5</v>
      </c>
      <c r="H82" s="18">
        <v>44536</v>
      </c>
      <c r="I82" s="18">
        <v>44540</v>
      </c>
      <c r="J82" s="17">
        <v>44536</v>
      </c>
      <c r="K82" s="17">
        <v>44540</v>
      </c>
      <c r="L82" s="196">
        <v>984.14</v>
      </c>
      <c r="M82" s="21">
        <v>0</v>
      </c>
      <c r="N82" s="20"/>
      <c r="O82" s="20"/>
      <c r="P82" s="194">
        <v>1</v>
      </c>
      <c r="Q82" s="19" t="s">
        <v>68</v>
      </c>
      <c r="R82" s="19" t="s">
        <v>224</v>
      </c>
      <c r="S82" s="19" t="s">
        <v>232</v>
      </c>
      <c r="T82" s="19" t="s">
        <v>68</v>
      </c>
      <c r="U82" s="19" t="s">
        <v>34</v>
      </c>
      <c r="V82" s="225">
        <v>140.59</v>
      </c>
      <c r="W82" s="19" t="s">
        <v>29</v>
      </c>
      <c r="X82" s="214">
        <f t="shared" si="18"/>
        <v>6.4128107020110659E-4</v>
      </c>
      <c r="Y82" s="7"/>
      <c r="Z82" s="7">
        <v>1</v>
      </c>
      <c r="AA82" s="6">
        <f>IFERROR(VLOOKUP(H82,SEMANAS!$B$1:$D$301,2,0),0)</f>
        <v>17</v>
      </c>
      <c r="AB82" s="6">
        <f>IFERROR(VLOOKUP(I82,SEMANAS!$B$1:$D$301,2,0),0)</f>
        <v>17</v>
      </c>
      <c r="AC82" s="16">
        <f t="shared" si="19"/>
        <v>984.14</v>
      </c>
      <c r="AD82" s="10">
        <f>K82-J82+1</f>
        <v>5</v>
      </c>
      <c r="AE82" s="10"/>
      <c r="AF82" s="10">
        <f>IFERROR(VLOOKUP(J82,SEMANAS!$B$1:$D$301,2,0),0)</f>
        <v>17</v>
      </c>
      <c r="AG82" s="10">
        <f>IFERROR(VLOOKUP(K82,SEMANAS!$B$1:$D$301,2,0),0)</f>
        <v>17</v>
      </c>
      <c r="AH82" s="11">
        <f t="shared" si="20"/>
        <v>984.14</v>
      </c>
      <c r="AI82" s="206" t="str">
        <f>IF(P82&gt;0,"executado",VLOOKUP(D82,'REPLAN - Agilean'!$A$6:$C$127,2,0))</f>
        <v>executado</v>
      </c>
      <c r="AJ82" s="206" t="str">
        <f>IF(P82&gt;0,"executado",VLOOKUP(D82,'REPLAN - Agilean'!$A$6:$C$127,3,0))</f>
        <v>executado</v>
      </c>
      <c r="AK82" s="3">
        <f>IFERROR(VLOOKUP(AI82,SEMANAS!$B$1:$D$301,2,0),0)</f>
        <v>0</v>
      </c>
      <c r="AL82" s="3">
        <f>IFERROR(VLOOKUP(AJ82,SEMANAS!$B$1:$D$301,2,0),0)</f>
        <v>0</v>
      </c>
      <c r="AM82" s="220">
        <f t="shared" si="22"/>
        <v>0</v>
      </c>
      <c r="AN82" s="218">
        <f>IFERROR(VLOOKUP(D82,#REF!,6,0),0)</f>
        <v>0</v>
      </c>
      <c r="AO82" s="218">
        <f>IFERROR(VLOOKUP(D82,#REF!,7,0),0)</f>
        <v>0</v>
      </c>
      <c r="AP82" s="206" t="str">
        <f t="shared" si="23"/>
        <v>desembolsado</v>
      </c>
      <c r="AQ82" s="206" t="str">
        <f t="shared" si="24"/>
        <v>desembolsado</v>
      </c>
    </row>
    <row r="83" spans="1:43" x14ac:dyDescent="0.25">
      <c r="A83" s="20" t="s">
        <v>233</v>
      </c>
      <c r="B83" s="20" t="s">
        <v>71</v>
      </c>
      <c r="C83" s="20" t="s">
        <v>396</v>
      </c>
      <c r="D83" s="20" t="str">
        <f t="shared" si="17"/>
        <v>Shaft PAV4</v>
      </c>
      <c r="E83" s="20" t="s">
        <v>26</v>
      </c>
      <c r="F83" s="20" t="s">
        <v>54</v>
      </c>
      <c r="G83" s="65">
        <v>2</v>
      </c>
      <c r="H83" s="18">
        <v>44559</v>
      </c>
      <c r="I83" s="18">
        <v>44561</v>
      </c>
      <c r="J83" s="17"/>
      <c r="K83" s="17"/>
      <c r="L83" s="196">
        <v>3159.37</v>
      </c>
      <c r="M83" s="21">
        <v>0</v>
      </c>
      <c r="N83" s="20"/>
      <c r="O83" s="20"/>
      <c r="P83" s="194">
        <v>0</v>
      </c>
      <c r="Q83" s="19" t="s">
        <v>72</v>
      </c>
      <c r="R83" s="19" t="s">
        <v>224</v>
      </c>
      <c r="S83" s="19" t="s">
        <v>234</v>
      </c>
      <c r="T83" s="19" t="s">
        <v>72</v>
      </c>
      <c r="U83" s="19" t="s">
        <v>34</v>
      </c>
      <c r="V83" s="225">
        <v>10.69</v>
      </c>
      <c r="W83" s="19" t="s">
        <v>29</v>
      </c>
      <c r="X83" s="214">
        <f t="shared" si="18"/>
        <v>2.0586950787096045E-3</v>
      </c>
      <c r="Y83" s="7"/>
      <c r="Z83" s="7">
        <v>1</v>
      </c>
      <c r="AA83" s="6">
        <f>IFERROR(VLOOKUP(H83,SEMANAS!$B$1:$D$301,2,0),0)</f>
        <v>20</v>
      </c>
      <c r="AB83" s="6">
        <f>IFERROR(VLOOKUP(I83,SEMANAS!$B$1:$D$301,2,0),0)</f>
        <v>20</v>
      </c>
      <c r="AC83" s="16">
        <f t="shared" si="19"/>
        <v>3159.37</v>
      </c>
      <c r="AD83" s="10"/>
      <c r="AE83" s="10"/>
      <c r="AF83" s="10">
        <f>IFERROR(VLOOKUP(J83,SEMANAS!$B$1:$D$301,2,0),0)</f>
        <v>0</v>
      </c>
      <c r="AG83" s="10">
        <f>IFERROR(VLOOKUP(K83,SEMANAS!$B$1:$D$301,2,0),0)</f>
        <v>0</v>
      </c>
      <c r="AH83" s="11">
        <f t="shared" si="20"/>
        <v>0</v>
      </c>
      <c r="AI83" s="206">
        <f>IF(P83&gt;0,"executado",VLOOKUP(D83,'REPLAN - Agilean'!$A$6:$C$127,2,0))</f>
        <v>44566</v>
      </c>
      <c r="AJ83" s="206">
        <f>IF(P83&gt;0,"executado",VLOOKUP(D83,'REPLAN - Agilean'!$A$6:$C$127,3,0))</f>
        <v>44568</v>
      </c>
      <c r="AK83" s="3">
        <f>IFERROR(VLOOKUP(AI83,SEMANAS!$B$1:$D$301,2,0),0)</f>
        <v>21</v>
      </c>
      <c r="AL83" s="3">
        <f>IFERROR(VLOOKUP(AJ83,SEMANAS!$B$1:$D$301,2,0),0)</f>
        <v>21</v>
      </c>
      <c r="AM83" s="220">
        <f t="shared" si="22"/>
        <v>3159.37</v>
      </c>
      <c r="AN83" s="218">
        <f>IFERROR(VLOOKUP(D83,#REF!,6,0),0)</f>
        <v>0</v>
      </c>
      <c r="AO83" s="218">
        <f>IFERROR(VLOOKUP(D83,#REF!,7,0),0)</f>
        <v>0</v>
      </c>
      <c r="AP83" s="206">
        <f t="shared" si="23"/>
        <v>44551</v>
      </c>
      <c r="AQ83" s="206">
        <f t="shared" si="24"/>
        <v>44581</v>
      </c>
    </row>
    <row r="84" spans="1:43" x14ac:dyDescent="0.25">
      <c r="A84" s="20" t="s">
        <v>235</v>
      </c>
      <c r="B84" s="20" t="s">
        <v>75</v>
      </c>
      <c r="C84" s="20" t="s">
        <v>397</v>
      </c>
      <c r="D84" s="20" t="str">
        <f t="shared" si="17"/>
        <v>ImpermeabilizaçãoPAV4</v>
      </c>
      <c r="E84" s="20" t="s">
        <v>26</v>
      </c>
      <c r="F84" s="20" t="s">
        <v>54</v>
      </c>
      <c r="G84" s="65">
        <v>5</v>
      </c>
      <c r="H84" s="18">
        <v>44573</v>
      </c>
      <c r="I84" s="18">
        <v>44580</v>
      </c>
      <c r="J84" s="17"/>
      <c r="K84" s="17"/>
      <c r="L84" s="196">
        <v>239.07</v>
      </c>
      <c r="M84" s="21">
        <v>0</v>
      </c>
      <c r="N84" s="20"/>
      <c r="O84" s="20"/>
      <c r="P84" s="194">
        <v>0</v>
      </c>
      <c r="Q84" s="19" t="s">
        <v>76</v>
      </c>
      <c r="R84" s="19" t="s">
        <v>224</v>
      </c>
      <c r="S84" s="19" t="s">
        <v>236</v>
      </c>
      <c r="T84" s="19" t="s">
        <v>76</v>
      </c>
      <c r="U84" s="19" t="s">
        <v>34</v>
      </c>
      <c r="V84" s="225">
        <v>6.08</v>
      </c>
      <c r="W84" s="19" t="s">
        <v>29</v>
      </c>
      <c r="X84" s="214">
        <f t="shared" si="18"/>
        <v>1.5578176423372545E-4</v>
      </c>
      <c r="Y84" s="6"/>
      <c r="Z84" s="6"/>
      <c r="AA84" s="6">
        <f>IFERROR(VLOOKUP(H84,SEMANAS!$B$1:$D$301,2,0),0)</f>
        <v>22</v>
      </c>
      <c r="AB84" s="6">
        <f>IFERROR(VLOOKUP(I84,SEMANAS!$B$1:$D$301,2,0),0)</f>
        <v>23</v>
      </c>
      <c r="AC84" s="16">
        <f t="shared" si="19"/>
        <v>0</v>
      </c>
      <c r="AD84" s="10"/>
      <c r="AE84" s="10"/>
      <c r="AF84" s="10">
        <f>IFERROR(VLOOKUP(J84,SEMANAS!$B$1:$D$301,2,0),0)</f>
        <v>0</v>
      </c>
      <c r="AG84" s="10">
        <f>IFERROR(VLOOKUP(K84,SEMANAS!$B$1:$D$301,2,0),0)</f>
        <v>0</v>
      </c>
      <c r="AH84" s="11">
        <f t="shared" si="20"/>
        <v>0</v>
      </c>
      <c r="AI84" s="206">
        <f>IF(P84&gt;0,"executado",VLOOKUP(D84,'REPLAN - Agilean'!$A$6:$C$127,2,0))</f>
        <v>44581</v>
      </c>
      <c r="AJ84" s="206">
        <f>IF(P84&gt;0,"executado",VLOOKUP(D84,'REPLAN - Agilean'!$A$6:$C$127,3,0))</f>
        <v>44587</v>
      </c>
      <c r="AK84" s="3">
        <f>IFERROR(VLOOKUP(AI84,SEMANAS!$B$1:$D$301,2,0),0)</f>
        <v>23</v>
      </c>
      <c r="AL84" s="3">
        <f>IFERROR(VLOOKUP(AJ84,SEMANAS!$B$1:$D$301,2,0),0)</f>
        <v>24</v>
      </c>
      <c r="AM84" s="220">
        <f t="shared" si="22"/>
        <v>239.07</v>
      </c>
      <c r="AN84" s="218">
        <f>IFERROR(VLOOKUP(D84,#REF!,6,0),0)</f>
        <v>0</v>
      </c>
      <c r="AO84" s="218">
        <f>IFERROR(VLOOKUP(D84,#REF!,7,0),0)</f>
        <v>0</v>
      </c>
      <c r="AP84" s="206">
        <f t="shared" si="23"/>
        <v>44566</v>
      </c>
      <c r="AQ84" s="206">
        <f t="shared" si="24"/>
        <v>44596</v>
      </c>
    </row>
    <row r="85" spans="1:43" x14ac:dyDescent="0.25">
      <c r="A85" s="20" t="s">
        <v>237</v>
      </c>
      <c r="B85" s="20" t="s">
        <v>79</v>
      </c>
      <c r="C85" s="20" t="s">
        <v>398</v>
      </c>
      <c r="D85" s="20" t="str">
        <f t="shared" si="17"/>
        <v>CerâmicaPAV4</v>
      </c>
      <c r="E85" s="20" t="s">
        <v>26</v>
      </c>
      <c r="F85" s="20" t="s">
        <v>54</v>
      </c>
      <c r="G85" s="65">
        <v>5</v>
      </c>
      <c r="H85" s="18">
        <v>44580</v>
      </c>
      <c r="I85" s="18">
        <v>44587</v>
      </c>
      <c r="J85" s="17"/>
      <c r="K85" s="17"/>
      <c r="L85" s="196">
        <v>20435.66</v>
      </c>
      <c r="M85" s="21">
        <v>0</v>
      </c>
      <c r="N85" s="20"/>
      <c r="O85" s="20"/>
      <c r="P85" s="194">
        <v>0</v>
      </c>
      <c r="Q85" s="19" t="s">
        <v>80</v>
      </c>
      <c r="R85" s="19" t="s">
        <v>224</v>
      </c>
      <c r="S85" s="19" t="s">
        <v>238</v>
      </c>
      <c r="T85" s="19" t="s">
        <v>80</v>
      </c>
      <c r="U85" s="19" t="s">
        <v>34</v>
      </c>
      <c r="V85" s="225">
        <v>86.26</v>
      </c>
      <c r="W85" s="19" t="s">
        <v>29</v>
      </c>
      <c r="X85" s="214">
        <f t="shared" si="18"/>
        <v>1.3316196796254544E-2</v>
      </c>
      <c r="Y85" s="6"/>
      <c r="Z85" s="6"/>
      <c r="AA85" s="6">
        <f>IFERROR(VLOOKUP(H85,SEMANAS!$B$1:$D$301,2,0),0)</f>
        <v>23</v>
      </c>
      <c r="AB85" s="6">
        <f>IFERROR(VLOOKUP(I85,SEMANAS!$B$1:$D$301,2,0),0)</f>
        <v>24</v>
      </c>
      <c r="AC85" s="16">
        <f t="shared" si="19"/>
        <v>0</v>
      </c>
      <c r="AD85" s="10"/>
      <c r="AE85" s="10"/>
      <c r="AF85" s="10">
        <f>IFERROR(VLOOKUP(J85,SEMANAS!$B$1:$D$301,2,0),0)</f>
        <v>0</v>
      </c>
      <c r="AG85" s="10">
        <f>IFERROR(VLOOKUP(K85,SEMANAS!$B$1:$D$301,2,0),0)</f>
        <v>0</v>
      </c>
      <c r="AH85" s="11">
        <f t="shared" si="20"/>
        <v>0</v>
      </c>
      <c r="AI85" s="206">
        <f>IF(P85&gt;0,"executado",VLOOKUP(D85,'REPLAN - Agilean'!$A$6:$C$127,2,0))</f>
        <v>44588</v>
      </c>
      <c r="AJ85" s="206">
        <f>IF(P85&gt;0,"executado",VLOOKUP(D85,'REPLAN - Agilean'!$A$6:$C$127,3,0))</f>
        <v>44594</v>
      </c>
      <c r="AK85" s="3">
        <f>IFERROR(VLOOKUP(AI85,SEMANAS!$B$1:$D$301,2,0),0)</f>
        <v>24</v>
      </c>
      <c r="AL85" s="3">
        <f>IFERROR(VLOOKUP(AJ85,SEMANAS!$B$1:$D$301,2,0),0)</f>
        <v>25</v>
      </c>
      <c r="AM85" s="220">
        <f t="shared" si="22"/>
        <v>20435.66</v>
      </c>
      <c r="AN85" s="218">
        <f>IFERROR(VLOOKUP(D85,#REF!,6,0),0)</f>
        <v>0</v>
      </c>
      <c r="AO85" s="218">
        <f>IFERROR(VLOOKUP(D85,#REF!,7,0),0)</f>
        <v>0</v>
      </c>
      <c r="AP85" s="206">
        <f t="shared" si="23"/>
        <v>44573</v>
      </c>
      <c r="AQ85" s="206">
        <f t="shared" si="24"/>
        <v>44603</v>
      </c>
    </row>
    <row r="86" spans="1:43" x14ac:dyDescent="0.25">
      <c r="A86" s="20" t="s">
        <v>239</v>
      </c>
      <c r="B86" s="20" t="s">
        <v>83</v>
      </c>
      <c r="C86" s="20" t="s">
        <v>399</v>
      </c>
      <c r="D86" s="20" t="str">
        <f t="shared" si="17"/>
        <v>Gesso LisoPAV4</v>
      </c>
      <c r="E86" s="20" t="s">
        <v>26</v>
      </c>
      <c r="F86" s="20" t="s">
        <v>54</v>
      </c>
      <c r="G86" s="65">
        <v>5</v>
      </c>
      <c r="H86" s="18">
        <v>44587</v>
      </c>
      <c r="I86" s="18">
        <v>44594</v>
      </c>
      <c r="J86" s="17"/>
      <c r="K86" s="17"/>
      <c r="L86" s="196">
        <v>6811.28</v>
      </c>
      <c r="M86" s="21">
        <v>0</v>
      </c>
      <c r="N86" s="20"/>
      <c r="O86" s="20"/>
      <c r="P86" s="194">
        <v>0</v>
      </c>
      <c r="Q86" s="19" t="s">
        <v>84</v>
      </c>
      <c r="R86" s="19" t="s">
        <v>224</v>
      </c>
      <c r="S86" s="19" t="s">
        <v>240</v>
      </c>
      <c r="T86" s="19" t="s">
        <v>86</v>
      </c>
      <c r="U86" s="19" t="s">
        <v>34</v>
      </c>
      <c r="V86" s="225">
        <v>447.45</v>
      </c>
      <c r="W86" s="19" t="s">
        <v>29</v>
      </c>
      <c r="X86" s="214">
        <f t="shared" si="18"/>
        <v>4.4383369518964716E-3</v>
      </c>
      <c r="Y86" s="6"/>
      <c r="Z86" s="6"/>
      <c r="AA86" s="6">
        <f>IFERROR(VLOOKUP(H86,SEMANAS!$B$1:$D$301,2,0),0)</f>
        <v>24</v>
      </c>
      <c r="AB86" s="6">
        <f>IFERROR(VLOOKUP(I86,SEMANAS!$B$1:$D$301,2,0),0)</f>
        <v>25</v>
      </c>
      <c r="AC86" s="16">
        <f t="shared" si="19"/>
        <v>0</v>
      </c>
      <c r="AD86" s="10"/>
      <c r="AE86" s="10"/>
      <c r="AF86" s="10">
        <f>IFERROR(VLOOKUP(J86,SEMANAS!$B$1:$D$301,2,0),0)</f>
        <v>0</v>
      </c>
      <c r="AG86" s="10">
        <f>IFERROR(VLOOKUP(K86,SEMANAS!$B$1:$D$301,2,0),0)</f>
        <v>0</v>
      </c>
      <c r="AH86" s="11">
        <f t="shared" si="20"/>
        <v>0</v>
      </c>
      <c r="AI86" s="206">
        <f>IF(P86&gt;0,"executado",VLOOKUP(D86,'REPLAN - Agilean'!$A$6:$C$127,2,0))</f>
        <v>44595</v>
      </c>
      <c r="AJ86" s="206">
        <f>IF(P86&gt;0,"executado",VLOOKUP(D86,'REPLAN - Agilean'!$A$6:$C$127,3,0))</f>
        <v>44601</v>
      </c>
      <c r="AK86" s="3">
        <f>IFERROR(VLOOKUP(AI86,SEMANAS!$B$1:$D$301,2,0),0)</f>
        <v>25</v>
      </c>
      <c r="AL86" s="3">
        <f>IFERROR(VLOOKUP(AJ86,SEMANAS!$B$1:$D$301,2,0),0)</f>
        <v>26</v>
      </c>
      <c r="AM86" s="220">
        <f t="shared" si="22"/>
        <v>6811.28</v>
      </c>
      <c r="AN86" s="218">
        <f>IFERROR(VLOOKUP(D86,#REF!,6,0),0)</f>
        <v>0</v>
      </c>
      <c r="AO86" s="218">
        <f>IFERROR(VLOOKUP(D86,#REF!,7,0),0)</f>
        <v>0</v>
      </c>
      <c r="AP86" s="206">
        <f t="shared" si="23"/>
        <v>44580</v>
      </c>
      <c r="AQ86" s="206">
        <f t="shared" si="24"/>
        <v>44610</v>
      </c>
    </row>
    <row r="87" spans="1:43" x14ac:dyDescent="0.25">
      <c r="A87" s="20" t="s">
        <v>241</v>
      </c>
      <c r="B87" s="20" t="s">
        <v>88</v>
      </c>
      <c r="C87" s="20" t="s">
        <v>400</v>
      </c>
      <c r="D87" s="20" t="str">
        <f t="shared" si="17"/>
        <v>Esquadria PAV4</v>
      </c>
      <c r="E87" s="20" t="s">
        <v>26</v>
      </c>
      <c r="F87" s="20" t="s">
        <v>54</v>
      </c>
      <c r="G87" s="65">
        <v>5</v>
      </c>
      <c r="H87" s="18">
        <v>44594</v>
      </c>
      <c r="I87" s="18">
        <v>44601</v>
      </c>
      <c r="J87" s="17"/>
      <c r="K87" s="17"/>
      <c r="L87" s="196">
        <v>26500</v>
      </c>
      <c r="M87" s="21">
        <v>0</v>
      </c>
      <c r="N87" s="20"/>
      <c r="O87" s="20"/>
      <c r="P87" s="194">
        <v>0</v>
      </c>
      <c r="Q87" s="19" t="s">
        <v>89</v>
      </c>
      <c r="R87" s="19" t="s">
        <v>224</v>
      </c>
      <c r="S87" s="19" t="s">
        <v>242</v>
      </c>
      <c r="T87" s="19" t="s">
        <v>89</v>
      </c>
      <c r="U87" s="19" t="s">
        <v>34</v>
      </c>
      <c r="V87" s="225">
        <v>21</v>
      </c>
      <c r="W87" s="19" t="s">
        <v>91</v>
      </c>
      <c r="X87" s="214">
        <f t="shared" si="18"/>
        <v>1.7267815920833748E-2</v>
      </c>
      <c r="Y87" s="6"/>
      <c r="Z87" s="6"/>
      <c r="AA87" s="6">
        <f>IFERROR(VLOOKUP(H87,SEMANAS!$B$1:$D$301,2,0),0)</f>
        <v>25</v>
      </c>
      <c r="AB87" s="6">
        <f>IFERROR(VLOOKUP(I87,SEMANAS!$B$1:$D$301,2,0),0)</f>
        <v>26</v>
      </c>
      <c r="AC87" s="16">
        <f t="shared" si="19"/>
        <v>0</v>
      </c>
      <c r="AD87" s="10"/>
      <c r="AE87" s="10"/>
      <c r="AF87" s="10">
        <f>IFERROR(VLOOKUP(J87,SEMANAS!$B$1:$D$301,2,0),0)</f>
        <v>0</v>
      </c>
      <c r="AG87" s="10">
        <f>IFERROR(VLOOKUP(K87,SEMANAS!$B$1:$D$301,2,0),0)</f>
        <v>0</v>
      </c>
      <c r="AH87" s="11">
        <f t="shared" si="20"/>
        <v>0</v>
      </c>
      <c r="AI87" s="206">
        <f>IF(P87&gt;0,"executado",VLOOKUP(D87,'REPLAN - Agilean'!$A$6:$C$127,2,0))</f>
        <v>44602</v>
      </c>
      <c r="AJ87" s="206">
        <f>IF(P87&gt;0,"executado",VLOOKUP(D87,'REPLAN - Agilean'!$A$6:$C$127,3,0))</f>
        <v>44606</v>
      </c>
      <c r="AK87" s="3">
        <f>IFERROR(VLOOKUP(AI87,SEMANAS!$B$1:$D$301,2,0),0)</f>
        <v>26</v>
      </c>
      <c r="AL87" s="3">
        <f>IFERROR(VLOOKUP(AJ87,SEMANAS!$B$1:$D$301,2,0),0)</f>
        <v>27</v>
      </c>
      <c r="AM87" s="220">
        <f t="shared" si="22"/>
        <v>26500</v>
      </c>
      <c r="AN87" s="218">
        <f>IFERROR(VLOOKUP(D87,#REF!,6,0),0)</f>
        <v>0</v>
      </c>
      <c r="AO87" s="218">
        <f>IFERROR(VLOOKUP(D87,#REF!,7,0),0)</f>
        <v>0</v>
      </c>
      <c r="AP87" s="206">
        <f t="shared" si="23"/>
        <v>44587</v>
      </c>
      <c r="AQ87" s="206">
        <f t="shared" si="24"/>
        <v>44617</v>
      </c>
    </row>
    <row r="88" spans="1:43" x14ac:dyDescent="0.25">
      <c r="A88" s="20" t="s">
        <v>243</v>
      </c>
      <c r="B88" s="20" t="s">
        <v>93</v>
      </c>
      <c r="C88" s="20" t="s">
        <v>401</v>
      </c>
      <c r="D88" s="20" t="str">
        <f t="shared" si="17"/>
        <v>FiaçãoPAV4</v>
      </c>
      <c r="E88" s="20" t="s">
        <v>26</v>
      </c>
      <c r="F88" s="20" t="s">
        <v>54</v>
      </c>
      <c r="G88" s="65">
        <v>5</v>
      </c>
      <c r="H88" s="18">
        <v>44601</v>
      </c>
      <c r="I88" s="18">
        <v>44608</v>
      </c>
      <c r="J88" s="17"/>
      <c r="K88" s="17"/>
      <c r="L88" s="196">
        <v>5134.5200000000004</v>
      </c>
      <c r="M88" s="21">
        <v>0</v>
      </c>
      <c r="N88" s="20"/>
      <c r="O88" s="20"/>
      <c r="P88" s="194">
        <v>0</v>
      </c>
      <c r="Q88" s="19" t="s">
        <v>84</v>
      </c>
      <c r="R88" s="19" t="s">
        <v>224</v>
      </c>
      <c r="S88" s="19" t="s">
        <v>240</v>
      </c>
      <c r="T88" s="19" t="s">
        <v>94</v>
      </c>
      <c r="U88" s="19" t="s">
        <v>34</v>
      </c>
      <c r="V88" s="225">
        <v>4</v>
      </c>
      <c r="W88" s="19" t="s">
        <v>95</v>
      </c>
      <c r="X88" s="214">
        <f t="shared" si="18"/>
        <v>3.3457338189373321E-3</v>
      </c>
      <c r="Y88" s="6"/>
      <c r="Z88" s="6"/>
      <c r="AA88" s="6">
        <f>IFERROR(VLOOKUP(H88,SEMANAS!$B$1:$D$301,2,0),0)</f>
        <v>26</v>
      </c>
      <c r="AB88" s="6">
        <f>IFERROR(VLOOKUP(I88,SEMANAS!$B$1:$D$301,2,0),0)</f>
        <v>27</v>
      </c>
      <c r="AC88" s="16">
        <f t="shared" si="19"/>
        <v>0</v>
      </c>
      <c r="AD88" s="10"/>
      <c r="AE88" s="10"/>
      <c r="AF88" s="10">
        <f>IFERROR(VLOOKUP(J88,SEMANAS!$B$1:$D$301,2,0),0)</f>
        <v>0</v>
      </c>
      <c r="AG88" s="10">
        <f>IFERROR(VLOOKUP(K88,SEMANAS!$B$1:$D$301,2,0),0)</f>
        <v>0</v>
      </c>
      <c r="AH88" s="11">
        <f t="shared" si="20"/>
        <v>0</v>
      </c>
      <c r="AI88" s="206">
        <f>IF(P88&gt;0,"executado",VLOOKUP(D88,'REPLAN - Agilean'!$A$6:$C$127,2,0))</f>
        <v>44614</v>
      </c>
      <c r="AJ88" s="206">
        <f>IF(P88&gt;0,"executado",VLOOKUP(D88,'REPLAN - Agilean'!$A$6:$C$127,3,0))</f>
        <v>44620</v>
      </c>
      <c r="AK88" s="3">
        <f>IFERROR(VLOOKUP(AI88,SEMANAS!$B$1:$D$301,2,0),0)</f>
        <v>28</v>
      </c>
      <c r="AL88" s="3">
        <f>IFERROR(VLOOKUP(AJ88,SEMANAS!$B$1:$D$301,2,0),0)</f>
        <v>29</v>
      </c>
      <c r="AM88" s="220">
        <f t="shared" si="22"/>
        <v>5134.5200000000004</v>
      </c>
      <c r="AN88" s="218">
        <f>IFERROR(VLOOKUP(D88,#REF!,6,0),0)</f>
        <v>0</v>
      </c>
      <c r="AO88" s="218">
        <f>IFERROR(VLOOKUP(D88,#REF!,7,0),0)</f>
        <v>0</v>
      </c>
      <c r="AP88" s="206">
        <f t="shared" si="23"/>
        <v>44599</v>
      </c>
      <c r="AQ88" s="206">
        <f t="shared" si="24"/>
        <v>44629</v>
      </c>
    </row>
    <row r="89" spans="1:43" x14ac:dyDescent="0.25">
      <c r="A89" s="20" t="s">
        <v>244</v>
      </c>
      <c r="B89" s="20" t="s">
        <v>97</v>
      </c>
      <c r="C89" s="20" t="s">
        <v>402</v>
      </c>
      <c r="D89" s="20" t="str">
        <f t="shared" si="17"/>
        <v>ForroPAV4</v>
      </c>
      <c r="E89" s="20" t="s">
        <v>26</v>
      </c>
      <c r="F89" s="20" t="s">
        <v>54</v>
      </c>
      <c r="G89" s="65">
        <v>5</v>
      </c>
      <c r="H89" s="18">
        <v>44608</v>
      </c>
      <c r="I89" s="18">
        <v>44615</v>
      </c>
      <c r="J89" s="17"/>
      <c r="K89" s="17"/>
      <c r="L89" s="196">
        <v>2297.4899999999998</v>
      </c>
      <c r="M89" s="21">
        <v>0</v>
      </c>
      <c r="N89" s="20"/>
      <c r="O89" s="20"/>
      <c r="P89" s="194">
        <v>0</v>
      </c>
      <c r="Q89" s="19" t="s">
        <v>98</v>
      </c>
      <c r="R89" s="19" t="s">
        <v>224</v>
      </c>
      <c r="S89" s="19" t="s">
        <v>245</v>
      </c>
      <c r="T89" s="19" t="s">
        <v>98</v>
      </c>
      <c r="U89" s="19" t="s">
        <v>34</v>
      </c>
      <c r="V89" s="225">
        <v>29.29</v>
      </c>
      <c r="W89" s="19" t="s">
        <v>29</v>
      </c>
      <c r="X89" s="214">
        <f t="shared" si="18"/>
        <v>1.4970805433945783E-3</v>
      </c>
      <c r="Y89" s="6"/>
      <c r="Z89" s="6"/>
      <c r="AA89" s="6">
        <f>IFERROR(VLOOKUP(H89,SEMANAS!$B$1:$D$301,2,0),0)</f>
        <v>27</v>
      </c>
      <c r="AB89" s="6">
        <f>IFERROR(VLOOKUP(I89,SEMANAS!$B$1:$D$301,2,0),0)</f>
        <v>28</v>
      </c>
      <c r="AC89" s="16">
        <f t="shared" si="19"/>
        <v>0</v>
      </c>
      <c r="AD89" s="10"/>
      <c r="AE89" s="10"/>
      <c r="AF89" s="10">
        <f>IFERROR(VLOOKUP(J89,SEMANAS!$B$1:$D$301,2,0),0)</f>
        <v>0</v>
      </c>
      <c r="AG89" s="10">
        <f>IFERROR(VLOOKUP(K89,SEMANAS!$B$1:$D$301,2,0),0)</f>
        <v>0</v>
      </c>
      <c r="AH89" s="11">
        <f t="shared" si="20"/>
        <v>0</v>
      </c>
      <c r="AI89" s="206">
        <f>IF(P89&gt;0,"executado",VLOOKUP(D89,'REPLAN - Agilean'!$A$6:$C$127,2,0))</f>
        <v>44621</v>
      </c>
      <c r="AJ89" s="206">
        <f>IF(P89&gt;0,"executado",VLOOKUP(D89,'REPLAN - Agilean'!$A$6:$C$127,3,0))</f>
        <v>44627</v>
      </c>
      <c r="AK89" s="3">
        <f>IFERROR(VLOOKUP(AI89,SEMANAS!$B$1:$D$301,2,0),0)</f>
        <v>29</v>
      </c>
      <c r="AL89" s="3">
        <f>IFERROR(VLOOKUP(AJ89,SEMANAS!$B$1:$D$301,2,0),0)</f>
        <v>30</v>
      </c>
      <c r="AM89" s="220">
        <f t="shared" si="22"/>
        <v>2297.4899999999998</v>
      </c>
      <c r="AN89" s="218">
        <f>IFERROR(VLOOKUP(D89,#REF!,6,0),0)</f>
        <v>0</v>
      </c>
      <c r="AO89" s="218">
        <f>IFERROR(VLOOKUP(D89,#REF!,7,0),0)</f>
        <v>0</v>
      </c>
      <c r="AP89" s="206">
        <f t="shared" si="23"/>
        <v>44606</v>
      </c>
      <c r="AQ89" s="206">
        <f t="shared" si="24"/>
        <v>44636</v>
      </c>
    </row>
    <row r="90" spans="1:43" x14ac:dyDescent="0.25">
      <c r="A90" s="20" t="s">
        <v>246</v>
      </c>
      <c r="B90" s="20" t="s">
        <v>105</v>
      </c>
      <c r="C90" s="20" t="s">
        <v>404</v>
      </c>
      <c r="D90" s="20" t="str">
        <f t="shared" si="17"/>
        <v>Disjuntores e CDPAV4</v>
      </c>
      <c r="E90" s="20" t="s">
        <v>26</v>
      </c>
      <c r="F90" s="20" t="s">
        <v>54</v>
      </c>
      <c r="G90" s="65">
        <v>2</v>
      </c>
      <c r="H90" s="18">
        <v>44615</v>
      </c>
      <c r="I90" s="18">
        <v>44617</v>
      </c>
      <c r="J90" s="17"/>
      <c r="K90" s="17"/>
      <c r="L90" s="196">
        <v>1400</v>
      </c>
      <c r="M90" s="21">
        <v>0</v>
      </c>
      <c r="N90" s="20"/>
      <c r="O90" s="20"/>
      <c r="P90" s="194">
        <v>0</v>
      </c>
      <c r="Q90" s="19" t="s">
        <v>106</v>
      </c>
      <c r="R90" s="19" t="s">
        <v>224</v>
      </c>
      <c r="S90" s="19" t="s">
        <v>247</v>
      </c>
      <c r="T90" s="19" t="s">
        <v>106</v>
      </c>
      <c r="U90" s="19" t="s">
        <v>34</v>
      </c>
      <c r="V90" s="225">
        <v>4</v>
      </c>
      <c r="W90" s="19" t="s">
        <v>29</v>
      </c>
      <c r="X90" s="214">
        <f t="shared" si="18"/>
        <v>9.1226197317612252E-4</v>
      </c>
      <c r="Y90" s="6"/>
      <c r="Z90" s="6"/>
      <c r="AA90" s="6">
        <f>IFERROR(VLOOKUP(H90,SEMANAS!$B$1:$D$301,2,0),0)</f>
        <v>28</v>
      </c>
      <c r="AB90" s="6">
        <f>IFERROR(VLOOKUP(I90,SEMANAS!$B$1:$D$301,2,0),0)</f>
        <v>28</v>
      </c>
      <c r="AC90" s="16">
        <f t="shared" si="19"/>
        <v>0</v>
      </c>
      <c r="AD90" s="10"/>
      <c r="AE90" s="10"/>
      <c r="AF90" s="10">
        <f>IFERROR(VLOOKUP(J90,SEMANAS!$B$1:$D$301,2,0),0)</f>
        <v>0</v>
      </c>
      <c r="AG90" s="10">
        <f>IFERROR(VLOOKUP(K90,SEMANAS!$B$1:$D$301,2,0),0)</f>
        <v>0</v>
      </c>
      <c r="AH90" s="11">
        <f t="shared" si="20"/>
        <v>0</v>
      </c>
      <c r="AI90" s="206">
        <f>IF(P90&gt;0,"executado",VLOOKUP(D90,'REPLAN - Agilean'!$A$6:$C$127,2,0))</f>
        <v>44621</v>
      </c>
      <c r="AJ90" s="206">
        <f>IF(P90&gt;0,"executado",VLOOKUP(D90,'REPLAN - Agilean'!$A$6:$C$127,3,0))</f>
        <v>44623</v>
      </c>
      <c r="AK90" s="3">
        <f>IFERROR(VLOOKUP(AI90,SEMANAS!$B$1:$D$301,2,0),0)</f>
        <v>29</v>
      </c>
      <c r="AL90" s="3">
        <f>IFERROR(VLOOKUP(AJ90,SEMANAS!$B$1:$D$301,2,0),0)</f>
        <v>29</v>
      </c>
      <c r="AM90" s="220">
        <f t="shared" si="22"/>
        <v>1400</v>
      </c>
      <c r="AN90" s="218">
        <f>IFERROR(VLOOKUP(D90,#REF!,6,0),0)</f>
        <v>0</v>
      </c>
      <c r="AO90" s="218">
        <f>IFERROR(VLOOKUP(D90,#REF!,7,0),0)</f>
        <v>0</v>
      </c>
      <c r="AP90" s="206">
        <f t="shared" si="23"/>
        <v>44606</v>
      </c>
      <c r="AQ90" s="206">
        <f t="shared" si="24"/>
        <v>44636</v>
      </c>
    </row>
    <row r="91" spans="1:43" x14ac:dyDescent="0.25">
      <c r="A91" s="20" t="s">
        <v>248</v>
      </c>
      <c r="B91" s="20" t="s">
        <v>101</v>
      </c>
      <c r="C91" s="20" t="s">
        <v>403</v>
      </c>
      <c r="D91" s="20" t="str">
        <f t="shared" si="17"/>
        <v>Rev. da CirculaçãoPAV4</v>
      </c>
      <c r="E91" s="20" t="s">
        <v>26</v>
      </c>
      <c r="F91" s="20" t="s">
        <v>54</v>
      </c>
      <c r="G91" s="65">
        <v>5</v>
      </c>
      <c r="H91" s="18">
        <v>44615</v>
      </c>
      <c r="I91" s="18">
        <v>44622</v>
      </c>
      <c r="J91" s="17"/>
      <c r="K91" s="17"/>
      <c r="L91" s="196">
        <v>3617.43</v>
      </c>
      <c r="M91" s="21">
        <v>0</v>
      </c>
      <c r="N91" s="20"/>
      <c r="O91" s="20"/>
      <c r="P91" s="194">
        <v>0</v>
      </c>
      <c r="Q91" s="19" t="s">
        <v>102</v>
      </c>
      <c r="R91" s="19" t="s">
        <v>224</v>
      </c>
      <c r="S91" s="19" t="s">
        <v>249</v>
      </c>
      <c r="T91" s="19" t="s">
        <v>102</v>
      </c>
      <c r="U91" s="19" t="s">
        <v>34</v>
      </c>
      <c r="V91" s="225">
        <v>22.5</v>
      </c>
      <c r="W91" s="19" t="s">
        <v>95</v>
      </c>
      <c r="X91" s="214">
        <f t="shared" si="18"/>
        <v>2.3571741640189292E-3</v>
      </c>
      <c r="Y91" s="6"/>
      <c r="Z91" s="6"/>
      <c r="AA91" s="6">
        <f>IFERROR(VLOOKUP(H91,SEMANAS!$B$1:$D$301,2,0),0)</f>
        <v>28</v>
      </c>
      <c r="AB91" s="6">
        <f>IFERROR(VLOOKUP(I91,SEMANAS!$B$1:$D$301,2,0),0)</f>
        <v>29</v>
      </c>
      <c r="AC91" s="16">
        <f t="shared" si="19"/>
        <v>0</v>
      </c>
      <c r="AD91" s="10"/>
      <c r="AE91" s="10"/>
      <c r="AF91" s="10">
        <f>IFERROR(VLOOKUP(J91,SEMANAS!$B$1:$D$301,2,0),0)</f>
        <v>0</v>
      </c>
      <c r="AG91" s="10">
        <f>IFERROR(VLOOKUP(K91,SEMANAS!$B$1:$D$301,2,0),0)</f>
        <v>0</v>
      </c>
      <c r="AH91" s="11">
        <f t="shared" si="20"/>
        <v>0</v>
      </c>
      <c r="AI91" s="206">
        <f>IF(P91&gt;0,"executado",VLOOKUP(D91,'REPLAN - Agilean'!$A$6:$C$127,2,0))</f>
        <v>44628</v>
      </c>
      <c r="AJ91" s="206">
        <f>IF(P91&gt;0,"executado",VLOOKUP(D91,'REPLAN - Agilean'!$A$6:$C$127,3,0))</f>
        <v>44634</v>
      </c>
      <c r="AK91" s="3">
        <f>IFERROR(VLOOKUP(AI91,SEMANAS!$B$1:$D$301,2,0),0)</f>
        <v>30</v>
      </c>
      <c r="AL91" s="3">
        <f>IFERROR(VLOOKUP(AJ91,SEMANAS!$B$1:$D$301,2,0),0)</f>
        <v>31</v>
      </c>
      <c r="AM91" s="220">
        <f t="shared" si="22"/>
        <v>3617.43</v>
      </c>
      <c r="AN91" s="218">
        <f>IFERROR(VLOOKUP(D91,#REF!,6,0),0)</f>
        <v>0</v>
      </c>
      <c r="AO91" s="218">
        <f>IFERROR(VLOOKUP(D91,#REF!,7,0),0)</f>
        <v>0</v>
      </c>
      <c r="AP91" s="206">
        <f t="shared" si="23"/>
        <v>44613</v>
      </c>
      <c r="AQ91" s="206">
        <f t="shared" si="24"/>
        <v>44643</v>
      </c>
    </row>
    <row r="92" spans="1:43" x14ac:dyDescent="0.25">
      <c r="A92" s="20" t="s">
        <v>250</v>
      </c>
      <c r="B92" s="20" t="s">
        <v>120</v>
      </c>
      <c r="C92" s="20" t="s">
        <v>408</v>
      </c>
      <c r="D92" s="20" t="str">
        <f t="shared" si="17"/>
        <v>Esquadria de Ferro CirculaçãoPAV4</v>
      </c>
      <c r="E92" s="20" t="s">
        <v>26</v>
      </c>
      <c r="F92" s="20" t="s">
        <v>54</v>
      </c>
      <c r="G92" s="65">
        <v>2</v>
      </c>
      <c r="H92" s="18">
        <v>44622</v>
      </c>
      <c r="I92" s="18">
        <v>44624</v>
      </c>
      <c r="J92" s="17"/>
      <c r="K92" s="17"/>
      <c r="L92" s="196">
        <v>2054.02</v>
      </c>
      <c r="M92" s="21">
        <v>0</v>
      </c>
      <c r="N92" s="20"/>
      <c r="O92" s="20"/>
      <c r="P92" s="194">
        <v>0</v>
      </c>
      <c r="Q92" s="19" t="s">
        <v>121</v>
      </c>
      <c r="R92" s="19" t="s">
        <v>224</v>
      </c>
      <c r="S92" s="19" t="s">
        <v>251</v>
      </c>
      <c r="T92" s="19" t="s">
        <v>121</v>
      </c>
      <c r="U92" s="19" t="s">
        <v>34</v>
      </c>
      <c r="V92" s="225">
        <v>4.17</v>
      </c>
      <c r="W92" s="19" t="s">
        <v>29</v>
      </c>
      <c r="X92" s="214">
        <f t="shared" si="18"/>
        <v>1.3384316701022993E-3</v>
      </c>
      <c r="Y92" s="6"/>
      <c r="Z92" s="6"/>
      <c r="AA92" s="6">
        <f>IFERROR(VLOOKUP(H92,SEMANAS!$B$1:$D$301,2,0),0)</f>
        <v>29</v>
      </c>
      <c r="AB92" s="6">
        <f>IFERROR(VLOOKUP(I92,SEMANAS!$B$1:$D$301,2,0),0)</f>
        <v>29</v>
      </c>
      <c r="AC92" s="16">
        <f t="shared" si="19"/>
        <v>0</v>
      </c>
      <c r="AD92" s="10"/>
      <c r="AE92" s="10"/>
      <c r="AF92" s="10">
        <f>IFERROR(VLOOKUP(J92,SEMANAS!$B$1:$D$301,2,0),0)</f>
        <v>0</v>
      </c>
      <c r="AG92" s="10">
        <f>IFERROR(VLOOKUP(K92,SEMANAS!$B$1:$D$301,2,0),0)</f>
        <v>0</v>
      </c>
      <c r="AH92" s="11">
        <f t="shared" si="20"/>
        <v>0</v>
      </c>
      <c r="AI92" s="206">
        <f>IF(P92&gt;0,"executado",VLOOKUP(D92,'REPLAN - Agilean'!$A$6:$C$127,2,0))</f>
        <v>44630</v>
      </c>
      <c r="AJ92" s="206">
        <f>IF(P92&gt;0,"executado",VLOOKUP(D92,'REPLAN - Agilean'!$A$6:$C$127,3,0))</f>
        <v>44634</v>
      </c>
      <c r="AK92" s="3">
        <f>IFERROR(VLOOKUP(AI92,SEMANAS!$B$1:$D$301,2,0),0)</f>
        <v>30</v>
      </c>
      <c r="AL92" s="3">
        <f>IFERROR(VLOOKUP(AJ92,SEMANAS!$B$1:$D$301,2,0),0)</f>
        <v>31</v>
      </c>
      <c r="AM92" s="220">
        <f t="shared" si="22"/>
        <v>2054.02</v>
      </c>
      <c r="AN92" s="218">
        <f>IFERROR(VLOOKUP(D92,#REF!,6,0),0)</f>
        <v>0</v>
      </c>
      <c r="AO92" s="218">
        <f>IFERROR(VLOOKUP(D92,#REF!,7,0),0)</f>
        <v>0</v>
      </c>
      <c r="AP92" s="206">
        <f t="shared" si="23"/>
        <v>44615</v>
      </c>
      <c r="AQ92" s="206">
        <f t="shared" si="24"/>
        <v>44645</v>
      </c>
    </row>
    <row r="93" spans="1:43" x14ac:dyDescent="0.25">
      <c r="A93" s="20" t="s">
        <v>252</v>
      </c>
      <c r="B93" s="20" t="s">
        <v>109</v>
      </c>
      <c r="C93" s="20" t="s">
        <v>405</v>
      </c>
      <c r="D93" s="20" t="str">
        <f t="shared" si="17"/>
        <v>Pintura Interna - 1ªdmãoPAV4</v>
      </c>
      <c r="E93" s="20" t="s">
        <v>26</v>
      </c>
      <c r="F93" s="20" t="s">
        <v>54</v>
      </c>
      <c r="G93" s="65">
        <v>5</v>
      </c>
      <c r="H93" s="18">
        <v>44629</v>
      </c>
      <c r="I93" s="18">
        <v>44636</v>
      </c>
      <c r="J93" s="17"/>
      <c r="K93" s="17"/>
      <c r="L93" s="196">
        <v>14799.65</v>
      </c>
      <c r="M93" s="21">
        <v>0</v>
      </c>
      <c r="N93" s="20"/>
      <c r="O93" s="20"/>
      <c r="P93" s="194">
        <v>0</v>
      </c>
      <c r="Q93" s="19" t="s">
        <v>84</v>
      </c>
      <c r="R93" s="19" t="s">
        <v>224</v>
      </c>
      <c r="S93" s="19" t="s">
        <v>240</v>
      </c>
      <c r="T93" s="19" t="s">
        <v>110</v>
      </c>
      <c r="U93" s="19" t="s">
        <v>34</v>
      </c>
      <c r="V93" s="225">
        <v>476.74</v>
      </c>
      <c r="W93" s="19" t="s">
        <v>91</v>
      </c>
      <c r="X93" s="214">
        <f t="shared" si="18"/>
        <v>9.6436842223685728E-3</v>
      </c>
      <c r="Y93" s="6"/>
      <c r="Z93" s="6"/>
      <c r="AA93" s="6">
        <f>IFERROR(VLOOKUP(H93,SEMANAS!$B$1:$D$301,2,0),0)</f>
        <v>30</v>
      </c>
      <c r="AB93" s="6">
        <f>IFERROR(VLOOKUP(I93,SEMANAS!$B$1:$D$301,2,0),0)</f>
        <v>31</v>
      </c>
      <c r="AC93" s="16">
        <f t="shared" si="19"/>
        <v>0</v>
      </c>
      <c r="AD93" s="10"/>
      <c r="AE93" s="10"/>
      <c r="AF93" s="10">
        <f>IFERROR(VLOOKUP(J93,SEMANAS!$B$1:$D$301,2,0),0)</f>
        <v>0</v>
      </c>
      <c r="AG93" s="10">
        <f>IFERROR(VLOOKUP(K93,SEMANAS!$B$1:$D$301,2,0),0)</f>
        <v>0</v>
      </c>
      <c r="AH93" s="11">
        <f t="shared" si="20"/>
        <v>0</v>
      </c>
      <c r="AI93" s="206">
        <f>IF(P93&gt;0,"executado",VLOOKUP(D93,'REPLAN - Agilean'!$A$6:$C$127,2,0))</f>
        <v>44635</v>
      </c>
      <c r="AJ93" s="206">
        <f>IF(P93&gt;0,"executado",VLOOKUP(D93,'REPLAN - Agilean'!$A$6:$C$127,3,0))</f>
        <v>44641</v>
      </c>
      <c r="AK93" s="3">
        <f>IFERROR(VLOOKUP(AI93,SEMANAS!$B$1:$D$301,2,0),0)</f>
        <v>31</v>
      </c>
      <c r="AL93" s="3">
        <f>IFERROR(VLOOKUP(AJ93,SEMANAS!$B$1:$D$301,2,0),0)</f>
        <v>32</v>
      </c>
      <c r="AM93" s="220">
        <f t="shared" si="22"/>
        <v>14799.65</v>
      </c>
      <c r="AN93" s="218">
        <f>IFERROR(VLOOKUP(D93,#REF!,6,0),0)</f>
        <v>0</v>
      </c>
      <c r="AO93" s="218">
        <f>IFERROR(VLOOKUP(D93,#REF!,7,0),0)</f>
        <v>0</v>
      </c>
      <c r="AP93" s="206">
        <f t="shared" si="23"/>
        <v>44620</v>
      </c>
      <c r="AQ93" s="206">
        <f t="shared" si="24"/>
        <v>44650</v>
      </c>
    </row>
    <row r="94" spans="1:43" x14ac:dyDescent="0.25">
      <c r="A94" s="20" t="s">
        <v>253</v>
      </c>
      <c r="B94" s="20" t="s">
        <v>112</v>
      </c>
      <c r="C94" s="20" t="s">
        <v>406</v>
      </c>
      <c r="D94" s="20" t="str">
        <f t="shared" si="17"/>
        <v>LouçasPAV4</v>
      </c>
      <c r="E94" s="20" t="s">
        <v>26</v>
      </c>
      <c r="F94" s="20" t="s">
        <v>54</v>
      </c>
      <c r="G94" s="65">
        <v>5</v>
      </c>
      <c r="H94" s="18">
        <v>44636</v>
      </c>
      <c r="I94" s="18">
        <v>44643</v>
      </c>
      <c r="J94" s="17"/>
      <c r="K94" s="17"/>
      <c r="L94" s="196">
        <v>5236.0200000000004</v>
      </c>
      <c r="M94" s="21">
        <v>0</v>
      </c>
      <c r="N94" s="20"/>
      <c r="O94" s="20"/>
      <c r="P94" s="194">
        <v>0</v>
      </c>
      <c r="Q94" s="19" t="s">
        <v>113</v>
      </c>
      <c r="R94" s="19" t="s">
        <v>224</v>
      </c>
      <c r="S94" s="19" t="s">
        <v>254</v>
      </c>
      <c r="T94" s="19" t="s">
        <v>113</v>
      </c>
      <c r="U94" s="19" t="s">
        <v>34</v>
      </c>
      <c r="V94" s="225">
        <v>16</v>
      </c>
      <c r="W94" s="19" t="s">
        <v>91</v>
      </c>
      <c r="X94" s="214">
        <f t="shared" si="18"/>
        <v>3.411872811992601E-3</v>
      </c>
      <c r="Y94" s="6"/>
      <c r="Z94" s="6"/>
      <c r="AA94" s="6">
        <f>IFERROR(VLOOKUP(H94,SEMANAS!$B$1:$D$301,2,0),0)</f>
        <v>31</v>
      </c>
      <c r="AB94" s="6">
        <f>IFERROR(VLOOKUP(I94,SEMANAS!$B$1:$D$301,2,0),0)</f>
        <v>32</v>
      </c>
      <c r="AC94" s="16">
        <f t="shared" si="19"/>
        <v>0</v>
      </c>
      <c r="AD94" s="10"/>
      <c r="AE94" s="10"/>
      <c r="AF94" s="10">
        <f>IFERROR(VLOOKUP(J94,SEMANAS!$B$1:$D$301,2,0),0)</f>
        <v>0</v>
      </c>
      <c r="AG94" s="10">
        <f>IFERROR(VLOOKUP(K94,SEMANAS!$B$1:$D$301,2,0),0)</f>
        <v>0</v>
      </c>
      <c r="AH94" s="11">
        <f t="shared" si="20"/>
        <v>0</v>
      </c>
      <c r="AI94" s="206">
        <f>IF(P94&gt;0,"executado",VLOOKUP(D94,'REPLAN - Agilean'!$A$6:$C$127,2,0))</f>
        <v>44642</v>
      </c>
      <c r="AJ94" s="206">
        <f>IF(P94&gt;0,"executado",VLOOKUP(D94,'REPLAN - Agilean'!$A$6:$C$127,3,0))</f>
        <v>44644</v>
      </c>
      <c r="AK94" s="3">
        <f>IFERROR(VLOOKUP(AI94,SEMANAS!$B$1:$D$301,2,0),0)</f>
        <v>32</v>
      </c>
      <c r="AL94" s="3">
        <f>IFERROR(VLOOKUP(AJ94,SEMANAS!$B$1:$D$301,2,0),0)</f>
        <v>32</v>
      </c>
      <c r="AM94" s="220">
        <f t="shared" si="22"/>
        <v>5236.0200000000004</v>
      </c>
      <c r="AN94" s="218">
        <f>IFERROR(VLOOKUP(D94,#REF!,6,0),0)</f>
        <v>0</v>
      </c>
      <c r="AO94" s="218">
        <f>IFERROR(VLOOKUP(D94,#REF!,7,0),0)</f>
        <v>0</v>
      </c>
      <c r="AP94" s="206">
        <f t="shared" si="23"/>
        <v>44627</v>
      </c>
      <c r="AQ94" s="206">
        <f t="shared" si="24"/>
        <v>44657</v>
      </c>
    </row>
    <row r="95" spans="1:43" x14ac:dyDescent="0.25">
      <c r="A95" s="20" t="s">
        <v>255</v>
      </c>
      <c r="B95" s="20" t="s">
        <v>116</v>
      </c>
      <c r="C95" s="20" t="s">
        <v>407</v>
      </c>
      <c r="D95" s="20" t="str">
        <f t="shared" si="17"/>
        <v>Portas de MadeiraPAV4</v>
      </c>
      <c r="E95" s="20" t="s">
        <v>26</v>
      </c>
      <c r="F95" s="20" t="s">
        <v>54</v>
      </c>
      <c r="G95" s="65">
        <v>5</v>
      </c>
      <c r="H95" s="18">
        <v>44643</v>
      </c>
      <c r="I95" s="18">
        <v>44650</v>
      </c>
      <c r="J95" s="17"/>
      <c r="K95" s="17"/>
      <c r="L95" s="196">
        <v>10400</v>
      </c>
      <c r="M95" s="21">
        <v>0</v>
      </c>
      <c r="N95" s="20"/>
      <c r="O95" s="20"/>
      <c r="P95" s="194">
        <v>0</v>
      </c>
      <c r="Q95" s="19" t="s">
        <v>117</v>
      </c>
      <c r="R95" s="19" t="s">
        <v>224</v>
      </c>
      <c r="S95" s="19" t="s">
        <v>256</v>
      </c>
      <c r="T95" s="19" t="s">
        <v>117</v>
      </c>
      <c r="U95" s="19" t="s">
        <v>34</v>
      </c>
      <c r="V95" s="225">
        <v>20</v>
      </c>
      <c r="W95" s="19" t="s">
        <v>123</v>
      </c>
      <c r="X95" s="214">
        <f t="shared" si="18"/>
        <v>6.7768032293083385E-3</v>
      </c>
      <c r="Y95" s="6"/>
      <c r="Z95" s="6"/>
      <c r="AA95" s="6">
        <f>IFERROR(VLOOKUP(H95,SEMANAS!$B$1:$D$301,2,0),0)</f>
        <v>32</v>
      </c>
      <c r="AB95" s="6">
        <f>IFERROR(VLOOKUP(I95,SEMANAS!$B$1:$D$301,2,0),0)</f>
        <v>33</v>
      </c>
      <c r="AC95" s="16">
        <f t="shared" si="19"/>
        <v>0</v>
      </c>
      <c r="AD95" s="10"/>
      <c r="AE95" s="10"/>
      <c r="AF95" s="10">
        <f>IFERROR(VLOOKUP(J95,SEMANAS!$B$1:$D$301,2,0),0)</f>
        <v>0</v>
      </c>
      <c r="AG95" s="10">
        <f>IFERROR(VLOOKUP(K95,SEMANAS!$B$1:$D$301,2,0),0)</f>
        <v>0</v>
      </c>
      <c r="AH95" s="11">
        <f t="shared" si="20"/>
        <v>0</v>
      </c>
      <c r="AI95" s="206">
        <f>IF(P95&gt;0,"executado",VLOOKUP(D95,'REPLAN - Agilean'!$A$6:$C$127,2,0))</f>
        <v>44644</v>
      </c>
      <c r="AJ95" s="206">
        <f>IF(P95&gt;0,"executado",VLOOKUP(D95,'REPLAN - Agilean'!$A$6:$C$127,3,0))</f>
        <v>44648</v>
      </c>
      <c r="AK95" s="3">
        <f>IFERROR(VLOOKUP(AI95,SEMANAS!$B$1:$D$301,2,0),0)</f>
        <v>32</v>
      </c>
      <c r="AL95" s="3">
        <f>IFERROR(VLOOKUP(AJ95,SEMANAS!$B$1:$D$301,2,0),0)</f>
        <v>33</v>
      </c>
      <c r="AM95" s="220">
        <f t="shared" si="22"/>
        <v>10400</v>
      </c>
      <c r="AN95" s="218">
        <f>IFERROR(VLOOKUP(D95,#REF!,6,0),0)</f>
        <v>0</v>
      </c>
      <c r="AO95" s="218">
        <f>IFERROR(VLOOKUP(D95,#REF!,7,0),0)</f>
        <v>0</v>
      </c>
      <c r="AP95" s="206">
        <f t="shared" si="23"/>
        <v>44629</v>
      </c>
      <c r="AQ95" s="206">
        <f t="shared" si="24"/>
        <v>44659</v>
      </c>
    </row>
    <row r="96" spans="1:43" x14ac:dyDescent="0.25">
      <c r="A96" s="20" t="s">
        <v>257</v>
      </c>
      <c r="B96" s="20" t="s">
        <v>125</v>
      </c>
      <c r="C96" s="20" t="s">
        <v>409</v>
      </c>
      <c r="D96" s="20" t="str">
        <f t="shared" si="17"/>
        <v>Piso Laminado + RodapéPAV4</v>
      </c>
      <c r="E96" s="20" t="s">
        <v>26</v>
      </c>
      <c r="F96" s="20" t="s">
        <v>54</v>
      </c>
      <c r="G96" s="65">
        <v>5</v>
      </c>
      <c r="H96" s="18">
        <v>44650</v>
      </c>
      <c r="I96" s="18">
        <v>44657</v>
      </c>
      <c r="J96" s="17"/>
      <c r="K96" s="17"/>
      <c r="L96" s="196">
        <v>13171.26</v>
      </c>
      <c r="M96" s="21">
        <v>0</v>
      </c>
      <c r="N96" s="20"/>
      <c r="O96" s="20"/>
      <c r="P96" s="194">
        <v>0</v>
      </c>
      <c r="Q96" s="19" t="s">
        <v>126</v>
      </c>
      <c r="R96" s="19" t="s">
        <v>224</v>
      </c>
      <c r="S96" s="19" t="s">
        <v>258</v>
      </c>
      <c r="T96" s="19" t="s">
        <v>126</v>
      </c>
      <c r="U96" s="19" t="s">
        <v>34</v>
      </c>
      <c r="V96" s="225">
        <v>80.88</v>
      </c>
      <c r="W96" s="19" t="s">
        <v>29</v>
      </c>
      <c r="X96" s="214">
        <f t="shared" si="18"/>
        <v>8.5825997405826679E-3</v>
      </c>
      <c r="Y96" s="6"/>
      <c r="Z96" s="6"/>
      <c r="AA96" s="6">
        <f>IFERROR(VLOOKUP(H96,SEMANAS!$B$1:$D$301,2,0),0)</f>
        <v>33</v>
      </c>
      <c r="AB96" s="6">
        <f>IFERROR(VLOOKUP(I96,SEMANAS!$B$1:$D$301,2,0),0)</f>
        <v>34</v>
      </c>
      <c r="AC96" s="16">
        <f t="shared" si="19"/>
        <v>0</v>
      </c>
      <c r="AD96" s="10"/>
      <c r="AE96" s="10"/>
      <c r="AF96" s="10">
        <f>IFERROR(VLOOKUP(J96,SEMANAS!$B$1:$D$301,2,0),0)</f>
        <v>0</v>
      </c>
      <c r="AG96" s="10">
        <f>IFERROR(VLOOKUP(K96,SEMANAS!$B$1:$D$301,2,0),0)</f>
        <v>0</v>
      </c>
      <c r="AH96" s="11">
        <f t="shared" si="20"/>
        <v>0</v>
      </c>
      <c r="AI96" s="206">
        <f>IF(P96&gt;0,"executado",VLOOKUP(D96,'REPLAN - Agilean'!$A$6:$C$127,2,0))</f>
        <v>44663</v>
      </c>
      <c r="AJ96" s="206">
        <f>IF(P96&gt;0,"executado",VLOOKUP(D96,'REPLAN - Agilean'!$A$6:$C$127,3,0))</f>
        <v>44669</v>
      </c>
      <c r="AK96" s="3">
        <f>IFERROR(VLOOKUP(AI96,SEMANAS!$B$1:$D$301,2,0),0)</f>
        <v>35</v>
      </c>
      <c r="AL96" s="3">
        <f>IFERROR(VLOOKUP(AJ96,SEMANAS!$B$1:$D$301,2,0),0)</f>
        <v>36</v>
      </c>
      <c r="AM96" s="220">
        <f t="shared" si="22"/>
        <v>13171.26</v>
      </c>
      <c r="AN96" s="218">
        <f>IFERROR(VLOOKUP(D96,#REF!,6,0),0)</f>
        <v>0</v>
      </c>
      <c r="AO96" s="218">
        <f>IFERROR(VLOOKUP(D96,#REF!,7,0),0)</f>
        <v>0</v>
      </c>
      <c r="AP96" s="206">
        <f t="shared" si="23"/>
        <v>44648</v>
      </c>
      <c r="AQ96" s="206">
        <f t="shared" si="24"/>
        <v>44678</v>
      </c>
    </row>
    <row r="97" spans="1:43" x14ac:dyDescent="0.25">
      <c r="A97" s="20" t="s">
        <v>259</v>
      </c>
      <c r="B97" s="20" t="s">
        <v>129</v>
      </c>
      <c r="C97" s="20" t="s">
        <v>410</v>
      </c>
      <c r="D97" s="20" t="str">
        <f t="shared" si="17"/>
        <v>MetaisPAV4</v>
      </c>
      <c r="E97" s="20" t="s">
        <v>26</v>
      </c>
      <c r="F97" s="20" t="s">
        <v>54</v>
      </c>
      <c r="G97" s="65">
        <v>2</v>
      </c>
      <c r="H97" s="18">
        <v>44657</v>
      </c>
      <c r="I97" s="18">
        <v>44659</v>
      </c>
      <c r="J97" s="17"/>
      <c r="K97" s="17"/>
      <c r="L97" s="196">
        <v>1340.04</v>
      </c>
      <c r="M97" s="21">
        <v>0</v>
      </c>
      <c r="N97" s="20"/>
      <c r="O97" s="20"/>
      <c r="P97" s="194">
        <v>0</v>
      </c>
      <c r="Q97" s="19" t="s">
        <v>130</v>
      </c>
      <c r="R97" s="19" t="s">
        <v>224</v>
      </c>
      <c r="S97" s="19" t="s">
        <v>260</v>
      </c>
      <c r="T97" s="19" t="s">
        <v>130</v>
      </c>
      <c r="U97" s="19" t="s">
        <v>34</v>
      </c>
      <c r="V97" s="225">
        <v>12</v>
      </c>
      <c r="W97" s="19" t="s">
        <v>91</v>
      </c>
      <c r="X97" s="214">
        <f t="shared" si="18"/>
        <v>8.7319109609637949E-4</v>
      </c>
      <c r="Y97" s="6"/>
      <c r="Z97" s="6"/>
      <c r="AA97" s="6">
        <f>IFERROR(VLOOKUP(H97,SEMANAS!$B$1:$D$301,2,0),0)</f>
        <v>34</v>
      </c>
      <c r="AB97" s="6">
        <f>IFERROR(VLOOKUP(I97,SEMANAS!$B$1:$D$301,2,0),0)</f>
        <v>34</v>
      </c>
      <c r="AC97" s="16">
        <f t="shared" si="19"/>
        <v>0</v>
      </c>
      <c r="AD97" s="10"/>
      <c r="AE97" s="10"/>
      <c r="AF97" s="10">
        <f>IFERROR(VLOOKUP(J97,SEMANAS!$B$1:$D$301,2,0),0)</f>
        <v>0</v>
      </c>
      <c r="AG97" s="10">
        <f>IFERROR(VLOOKUP(K97,SEMANAS!$B$1:$D$301,2,0),0)</f>
        <v>0</v>
      </c>
      <c r="AH97" s="11">
        <f t="shared" si="20"/>
        <v>0</v>
      </c>
      <c r="AI97" s="206">
        <f>IF(P97&gt;0,"executado",VLOOKUP(D97,'REPLAN - Agilean'!$A$6:$C$127,2,0))</f>
        <v>44649</v>
      </c>
      <c r="AJ97" s="206">
        <f>IF(P97&gt;0,"executado",VLOOKUP(D97,'REPLAN - Agilean'!$A$6:$C$127,3,0))</f>
        <v>44651</v>
      </c>
      <c r="AK97" s="3">
        <f>IFERROR(VLOOKUP(AI97,SEMANAS!$B$1:$D$301,2,0),0)</f>
        <v>33</v>
      </c>
      <c r="AL97" s="3">
        <f>IFERROR(VLOOKUP(AJ97,SEMANAS!$B$1:$D$301,2,0),0)</f>
        <v>33</v>
      </c>
      <c r="AM97" s="220">
        <f t="shared" si="22"/>
        <v>1340.04</v>
      </c>
      <c r="AN97" s="218">
        <f>IFERROR(VLOOKUP(D97,#REF!,6,0),0)</f>
        <v>0</v>
      </c>
      <c r="AO97" s="218">
        <f>IFERROR(VLOOKUP(D97,#REF!,7,0),0)</f>
        <v>0</v>
      </c>
      <c r="AP97" s="206">
        <f t="shared" si="23"/>
        <v>44634</v>
      </c>
      <c r="AQ97" s="206">
        <f t="shared" si="24"/>
        <v>44664</v>
      </c>
    </row>
    <row r="98" spans="1:43" x14ac:dyDescent="0.25">
      <c r="A98" s="20" t="s">
        <v>261</v>
      </c>
      <c r="B98" s="20" t="s">
        <v>133</v>
      </c>
      <c r="C98" s="20" t="s">
        <v>411</v>
      </c>
      <c r="D98" s="20" t="str">
        <f t="shared" si="17"/>
        <v>Acabamentos ElétricosPAV4</v>
      </c>
      <c r="E98" s="20" t="s">
        <v>26</v>
      </c>
      <c r="F98" s="20" t="s">
        <v>54</v>
      </c>
      <c r="G98" s="65">
        <v>2</v>
      </c>
      <c r="H98" s="18">
        <v>44657</v>
      </c>
      <c r="I98" s="18">
        <v>44659</v>
      </c>
      <c r="J98" s="17"/>
      <c r="K98" s="17"/>
      <c r="L98" s="196">
        <v>0</v>
      </c>
      <c r="M98" s="21">
        <v>0</v>
      </c>
      <c r="N98" s="20"/>
      <c r="O98" s="20"/>
      <c r="P98" s="194">
        <v>0</v>
      </c>
      <c r="Q98" s="19" t="s">
        <v>84</v>
      </c>
      <c r="R98" s="19" t="s">
        <v>224</v>
      </c>
      <c r="S98" s="19" t="s">
        <v>240</v>
      </c>
      <c r="T98" s="19" t="s">
        <v>134</v>
      </c>
      <c r="U98" s="19" t="s">
        <v>34</v>
      </c>
      <c r="V98" s="225">
        <v>4</v>
      </c>
      <c r="W98" s="19" t="s">
        <v>95</v>
      </c>
      <c r="X98" s="214">
        <f t="shared" si="18"/>
        <v>0</v>
      </c>
      <c r="Y98" s="6"/>
      <c r="Z98" s="6"/>
      <c r="AA98" s="6">
        <f>IFERROR(VLOOKUP(H98,SEMANAS!$B$1:$D$301,2,0),0)</f>
        <v>34</v>
      </c>
      <c r="AB98" s="6">
        <f>IFERROR(VLOOKUP(I98,SEMANAS!$B$1:$D$301,2,0),0)</f>
        <v>34</v>
      </c>
      <c r="AC98" s="16">
        <f t="shared" si="19"/>
        <v>0</v>
      </c>
      <c r="AD98" s="10"/>
      <c r="AE98" s="10"/>
      <c r="AF98" s="10">
        <f>IFERROR(VLOOKUP(J98,SEMANAS!$B$1:$D$301,2,0),0)</f>
        <v>0</v>
      </c>
      <c r="AG98" s="10">
        <f>IFERROR(VLOOKUP(K98,SEMANAS!$B$1:$D$301,2,0),0)</f>
        <v>0</v>
      </c>
      <c r="AH98" s="11">
        <f t="shared" si="20"/>
        <v>0</v>
      </c>
      <c r="AI98" s="206">
        <f>IF(P98&gt;0,"executado",VLOOKUP(D98,'REPLAN - Agilean'!$A$6:$C$127,2,0))</f>
        <v>44649</v>
      </c>
      <c r="AJ98" s="206">
        <f>IF(P98&gt;0,"executado",VLOOKUP(D98,'REPLAN - Agilean'!$A$6:$C$127,3,0))</f>
        <v>44651</v>
      </c>
      <c r="AK98" s="3">
        <f>IFERROR(VLOOKUP(AI98,SEMANAS!$B$1:$D$301,2,0),0)</f>
        <v>33</v>
      </c>
      <c r="AL98" s="3">
        <f>IFERROR(VLOOKUP(AJ98,SEMANAS!$B$1:$D$301,2,0),0)</f>
        <v>33</v>
      </c>
      <c r="AM98" s="220">
        <f t="shared" si="22"/>
        <v>0</v>
      </c>
      <c r="AN98" s="218">
        <f>IFERROR(VLOOKUP(D98,#REF!,6,0),0)</f>
        <v>0</v>
      </c>
      <c r="AO98" s="218">
        <f>IFERROR(VLOOKUP(D98,#REF!,7,0),0)</f>
        <v>0</v>
      </c>
      <c r="AP98" s="206">
        <f t="shared" si="23"/>
        <v>44634</v>
      </c>
      <c r="AQ98" s="206">
        <f t="shared" si="24"/>
        <v>44664</v>
      </c>
    </row>
    <row r="99" spans="1:43" x14ac:dyDescent="0.25">
      <c r="A99" s="20" t="s">
        <v>262</v>
      </c>
      <c r="B99" s="20" t="s">
        <v>136</v>
      </c>
      <c r="C99" s="20" t="s">
        <v>412</v>
      </c>
      <c r="D99" s="20" t="str">
        <f t="shared" si="17"/>
        <v>Pintura FinalPAV4</v>
      </c>
      <c r="E99" s="20" t="s">
        <v>26</v>
      </c>
      <c r="F99" s="20" t="s">
        <v>54</v>
      </c>
      <c r="G99" s="65">
        <v>5</v>
      </c>
      <c r="H99" s="18">
        <v>44671</v>
      </c>
      <c r="I99" s="18">
        <v>44678</v>
      </c>
      <c r="J99" s="17"/>
      <c r="K99" s="17"/>
      <c r="L99" s="196">
        <v>3687.38</v>
      </c>
      <c r="M99" s="21">
        <v>0</v>
      </c>
      <c r="N99" s="20"/>
      <c r="O99" s="20"/>
      <c r="P99" s="194">
        <v>0</v>
      </c>
      <c r="Q99" s="19" t="s">
        <v>84</v>
      </c>
      <c r="R99" s="19" t="s">
        <v>224</v>
      </c>
      <c r="S99" s="19" t="s">
        <v>240</v>
      </c>
      <c r="T99" s="19" t="s">
        <v>137</v>
      </c>
      <c r="U99" s="19" t="s">
        <v>34</v>
      </c>
      <c r="V99" s="225">
        <v>614.55999999999995</v>
      </c>
      <c r="W99" s="19" t="s">
        <v>29</v>
      </c>
      <c r="X99" s="214">
        <f t="shared" si="18"/>
        <v>2.4027546818929791E-3</v>
      </c>
      <c r="Y99" s="6"/>
      <c r="Z99" s="6"/>
      <c r="AA99" s="6">
        <f>IFERROR(VLOOKUP(H99,SEMANAS!$B$1:$D$301,2,0),0)</f>
        <v>36</v>
      </c>
      <c r="AB99" s="6">
        <f>IFERROR(VLOOKUP(I99,SEMANAS!$B$1:$D$301,2,0),0)</f>
        <v>37</v>
      </c>
      <c r="AC99" s="16">
        <f t="shared" si="19"/>
        <v>0</v>
      </c>
      <c r="AD99" s="10"/>
      <c r="AE99" s="10"/>
      <c r="AF99" s="10">
        <f>IFERROR(VLOOKUP(J99,SEMANAS!$B$1:$D$301,2,0),0)</f>
        <v>0</v>
      </c>
      <c r="AG99" s="10">
        <f>IFERROR(VLOOKUP(K99,SEMANAS!$B$1:$D$301,2,0),0)</f>
        <v>0</v>
      </c>
      <c r="AH99" s="11">
        <f t="shared" si="20"/>
        <v>0</v>
      </c>
      <c r="AI99" s="206">
        <f>IF(P99&gt;0,"executado",VLOOKUP(D99,'REPLAN - Agilean'!$A$6:$C$127,2,0))</f>
        <v>44670</v>
      </c>
      <c r="AJ99" s="206">
        <f>IF(P99&gt;0,"executado",VLOOKUP(D99,'REPLAN - Agilean'!$A$6:$C$127,3,0))</f>
        <v>44676</v>
      </c>
      <c r="AK99" s="3">
        <f>IFERROR(VLOOKUP(AI99,SEMANAS!$B$1:$D$301,2,0),0)</f>
        <v>36</v>
      </c>
      <c r="AL99" s="3">
        <f>IFERROR(VLOOKUP(AJ99,SEMANAS!$B$1:$D$301,2,0),0)</f>
        <v>37</v>
      </c>
      <c r="AM99" s="220">
        <f t="shared" si="22"/>
        <v>3687.38</v>
      </c>
      <c r="AN99" s="218">
        <f>IFERROR(VLOOKUP(D99,#REF!,6,0),0)</f>
        <v>0</v>
      </c>
      <c r="AO99" s="218">
        <f>IFERROR(VLOOKUP(D99,#REF!,7,0),0)</f>
        <v>0</v>
      </c>
      <c r="AP99" s="206">
        <f t="shared" si="23"/>
        <v>44655</v>
      </c>
      <c r="AQ99" s="206">
        <f t="shared" si="24"/>
        <v>44685</v>
      </c>
    </row>
    <row r="100" spans="1:43" x14ac:dyDescent="0.25">
      <c r="A100" s="20" t="s">
        <v>263</v>
      </c>
      <c r="B100" s="20" t="s">
        <v>139</v>
      </c>
      <c r="C100" s="20" t="s">
        <v>413</v>
      </c>
      <c r="D100" s="20" t="str">
        <f t="shared" si="17"/>
        <v>Complementação e LimpezaPAV4</v>
      </c>
      <c r="E100" s="20" t="s">
        <v>26</v>
      </c>
      <c r="F100" s="20" t="s">
        <v>54</v>
      </c>
      <c r="G100" s="65">
        <v>2</v>
      </c>
      <c r="H100" s="18">
        <v>44678</v>
      </c>
      <c r="I100" s="18">
        <v>44680</v>
      </c>
      <c r="J100" s="17"/>
      <c r="K100" s="17"/>
      <c r="L100" s="196">
        <v>500</v>
      </c>
      <c r="M100" s="21">
        <v>0</v>
      </c>
      <c r="N100" s="20"/>
      <c r="O100" s="20"/>
      <c r="P100" s="194">
        <v>0</v>
      </c>
      <c r="Q100" s="19" t="s">
        <v>84</v>
      </c>
      <c r="R100" s="19" t="s">
        <v>224</v>
      </c>
      <c r="S100" s="19" t="s">
        <v>240</v>
      </c>
      <c r="T100" s="19" t="s">
        <v>140</v>
      </c>
      <c r="U100" s="19" t="s">
        <v>34</v>
      </c>
      <c r="V100" s="225">
        <v>0.25</v>
      </c>
      <c r="W100" s="19" t="s">
        <v>44</v>
      </c>
      <c r="X100" s="214">
        <f t="shared" si="18"/>
        <v>3.2580784756290089E-4</v>
      </c>
      <c r="Y100" s="6"/>
      <c r="Z100" s="6"/>
      <c r="AA100" s="6">
        <f>IFERROR(VLOOKUP(H100,SEMANAS!$B$1:$D$301,2,0),0)</f>
        <v>37</v>
      </c>
      <c r="AB100" s="6">
        <f>IFERROR(VLOOKUP(I100,SEMANAS!$B$1:$D$301,2,0),0)</f>
        <v>37</v>
      </c>
      <c r="AC100" s="16">
        <f t="shared" si="19"/>
        <v>0</v>
      </c>
      <c r="AD100" s="10"/>
      <c r="AE100" s="10"/>
      <c r="AF100" s="10">
        <f>IFERROR(VLOOKUP(J100,SEMANAS!$B$1:$D$301,2,0),0)</f>
        <v>0</v>
      </c>
      <c r="AG100" s="10">
        <f>IFERROR(VLOOKUP(K100,SEMANAS!$B$1:$D$301,2,0),0)</f>
        <v>0</v>
      </c>
      <c r="AH100" s="11">
        <f t="shared" si="20"/>
        <v>0</v>
      </c>
      <c r="AI100" s="206">
        <f>IF(P100&gt;0,"executado",VLOOKUP(D100,'REPLAN - Agilean'!$A$6:$C$127,2,0))</f>
        <v>44677</v>
      </c>
      <c r="AJ100" s="206">
        <f>IF(P100&gt;0,"executado",VLOOKUP(D100,'REPLAN - Agilean'!$A$6:$C$127,3,0))</f>
        <v>44679</v>
      </c>
      <c r="AK100" s="3">
        <f>IFERROR(VLOOKUP(AI100,SEMANAS!$B$1:$D$301,2,0),0)</f>
        <v>37</v>
      </c>
      <c r="AL100" s="3">
        <f>IFERROR(VLOOKUP(AJ100,SEMANAS!$B$1:$D$301,2,0),0)</f>
        <v>37</v>
      </c>
      <c r="AM100" s="220">
        <f t="shared" si="22"/>
        <v>500</v>
      </c>
      <c r="AN100" s="218">
        <f>IFERROR(VLOOKUP(D100,#REF!,6,0),0)</f>
        <v>0</v>
      </c>
      <c r="AO100" s="218">
        <f>IFERROR(VLOOKUP(D100,#REF!,7,0),0)</f>
        <v>0</v>
      </c>
      <c r="AP100" s="206">
        <f t="shared" si="23"/>
        <v>44662</v>
      </c>
      <c r="AQ100" s="206">
        <f t="shared" si="24"/>
        <v>44692</v>
      </c>
    </row>
    <row r="101" spans="1:43" x14ac:dyDescent="0.25">
      <c r="A101" s="20" t="s">
        <v>264</v>
      </c>
      <c r="B101" s="20" t="s">
        <v>265</v>
      </c>
      <c r="C101" s="20"/>
      <c r="D101" s="20" t="str">
        <f t="shared" si="17"/>
        <v>COB</v>
      </c>
      <c r="E101" s="20"/>
      <c r="F101" s="20"/>
      <c r="G101" s="65">
        <v>25</v>
      </c>
      <c r="H101" s="18">
        <v>44522</v>
      </c>
      <c r="I101" s="18">
        <v>44554</v>
      </c>
      <c r="J101" s="17"/>
      <c r="K101" s="17"/>
      <c r="L101" s="196"/>
      <c r="M101" s="21">
        <v>0</v>
      </c>
      <c r="N101" s="20"/>
      <c r="O101" s="20"/>
      <c r="P101" s="194">
        <v>0</v>
      </c>
      <c r="Q101" s="19"/>
      <c r="R101" s="19"/>
      <c r="S101" s="19" t="s">
        <v>51</v>
      </c>
      <c r="T101" s="19">
        <v>0</v>
      </c>
      <c r="U101" s="19">
        <v>0</v>
      </c>
      <c r="V101" s="225"/>
      <c r="W101" s="19"/>
      <c r="X101" s="214">
        <f t="shared" si="18"/>
        <v>0</v>
      </c>
      <c r="Y101" s="6"/>
      <c r="Z101" s="6"/>
      <c r="AA101" s="6">
        <f>IFERROR(VLOOKUP(H101,SEMANAS!$B$1:$D$301,2,0),0)</f>
        <v>15</v>
      </c>
      <c r="AB101" s="6">
        <f>IFERROR(VLOOKUP(I101,SEMANAS!$B$1:$D$301,2,0),0)</f>
        <v>19</v>
      </c>
      <c r="AC101" s="16">
        <f t="shared" si="19"/>
        <v>0</v>
      </c>
      <c r="AD101" s="10"/>
      <c r="AE101" s="10"/>
      <c r="AF101" s="10">
        <f>IFERROR(VLOOKUP(J101,SEMANAS!$B$1:$D$301,2,0),0)</f>
        <v>0</v>
      </c>
      <c r="AG101" s="10">
        <f>IFERROR(VLOOKUP(K101,SEMANAS!$B$1:$D$301,2,0),0)</f>
        <v>0</v>
      </c>
      <c r="AH101" s="11">
        <f t="shared" si="20"/>
        <v>0</v>
      </c>
      <c r="AI101" s="206">
        <f>IF(P101&gt;0,"executado",VLOOKUP(D101,'REPLAN - Agilean'!$A$6:$C$127,2,0))</f>
        <v>44522</v>
      </c>
      <c r="AJ101" s="206">
        <f>IF(P101&gt;0,"executado",VLOOKUP(D101,'REPLAN - Agilean'!$A$6:$C$127,3,0))</f>
        <v>44554</v>
      </c>
      <c r="AK101" s="3">
        <f>IFERROR(VLOOKUP(AI101,SEMANAS!$B$1:$D$301,2,0),0)</f>
        <v>15</v>
      </c>
      <c r="AL101" s="3">
        <f>IFERROR(VLOOKUP(AJ101,SEMANAS!$B$1:$D$301,2,0),0)</f>
        <v>19</v>
      </c>
      <c r="AM101" s="3">
        <f t="shared" si="21"/>
        <v>0</v>
      </c>
      <c r="AN101" s="3">
        <f>IFERROR(VLOOKUP(D101,#REF!,6,0),0)</f>
        <v>0</v>
      </c>
      <c r="AO101" s="3"/>
      <c r="AP101" s="3"/>
      <c r="AQ101" s="3"/>
    </row>
    <row r="102" spans="1:43" x14ac:dyDescent="0.25">
      <c r="A102" s="20" t="s">
        <v>266</v>
      </c>
      <c r="B102" s="20" t="s">
        <v>53</v>
      </c>
      <c r="C102" s="20" t="s">
        <v>392</v>
      </c>
      <c r="D102" s="20" t="str">
        <f t="shared" si="17"/>
        <v>Alvenaria EstruturalCOB</v>
      </c>
      <c r="E102" s="20" t="s">
        <v>26</v>
      </c>
      <c r="F102" s="20" t="s">
        <v>267</v>
      </c>
      <c r="G102" s="65">
        <v>5</v>
      </c>
      <c r="H102" s="18">
        <v>44522</v>
      </c>
      <c r="I102" s="18">
        <v>44526</v>
      </c>
      <c r="J102" s="17">
        <v>44529</v>
      </c>
      <c r="K102" s="17">
        <v>44533</v>
      </c>
      <c r="L102" s="196">
        <v>20252.84</v>
      </c>
      <c r="M102" s="21">
        <v>0</v>
      </c>
      <c r="N102" s="20"/>
      <c r="O102" s="20"/>
      <c r="P102" s="194">
        <v>1</v>
      </c>
      <c r="Q102" s="19" t="s">
        <v>55</v>
      </c>
      <c r="R102" s="19" t="s">
        <v>265</v>
      </c>
      <c r="S102" s="19" t="s">
        <v>268</v>
      </c>
      <c r="T102" s="19" t="s">
        <v>55</v>
      </c>
      <c r="U102" s="19" t="s">
        <v>34</v>
      </c>
      <c r="V102" s="225">
        <v>81.7</v>
      </c>
      <c r="W102" s="19" t="s">
        <v>29</v>
      </c>
      <c r="X102" s="214">
        <f t="shared" si="18"/>
        <v>1.3197068414871643E-2</v>
      </c>
      <c r="Y102" s="7"/>
      <c r="Z102" s="7">
        <v>1</v>
      </c>
      <c r="AA102" s="6">
        <f>IFERROR(VLOOKUP(H102,SEMANAS!$B$1:$D$301,2,0),0)</f>
        <v>15</v>
      </c>
      <c r="AB102" s="6">
        <f>IFERROR(VLOOKUP(I102,SEMANAS!$B$1:$D$301,2,0),0)</f>
        <v>15</v>
      </c>
      <c r="AC102" s="16">
        <f t="shared" si="19"/>
        <v>20252.84</v>
      </c>
      <c r="AD102" s="10">
        <f>K102-J102+1</f>
        <v>5</v>
      </c>
      <c r="AE102" s="10"/>
      <c r="AF102" s="10">
        <f>IFERROR(VLOOKUP(J102,SEMANAS!$B$1:$D$301,2,0),0)</f>
        <v>16</v>
      </c>
      <c r="AG102" s="10">
        <f>IFERROR(VLOOKUP(K102,SEMANAS!$B$1:$D$301,2,0),0)</f>
        <v>16</v>
      </c>
      <c r="AH102" s="11">
        <f t="shared" si="20"/>
        <v>20252.84</v>
      </c>
      <c r="AI102" s="206" t="str">
        <f>IF(P102&gt;0,"executado",VLOOKUP(D102,'REPLAN - Agilean'!$A$6:$C$127,2,0))</f>
        <v>executado</v>
      </c>
      <c r="AJ102" s="206" t="str">
        <f>IF(P102&gt;0,"executado",VLOOKUP(D102,'REPLAN - Agilean'!$A$6:$C$127,3,0))</f>
        <v>executado</v>
      </c>
      <c r="AK102" s="3">
        <f>IFERROR(VLOOKUP(AI102,SEMANAS!$B$1:$D$301,2,0),0)</f>
        <v>0</v>
      </c>
      <c r="AL102" s="3">
        <f>IFERROR(VLOOKUP(AJ102,SEMANAS!$B$1:$D$301,2,0),0)</f>
        <v>0</v>
      </c>
      <c r="AM102" s="220">
        <f t="shared" ref="AM102:AM106" si="25">IF(AL102&lt;=0,0,L102)</f>
        <v>0</v>
      </c>
      <c r="AN102" s="218">
        <f>IFERROR(VLOOKUP(D102,#REF!,6,0),0)</f>
        <v>0</v>
      </c>
      <c r="AO102" s="218">
        <f>IFERROR(VLOOKUP(D102,#REF!,7,0),0)</f>
        <v>0</v>
      </c>
      <c r="AP102" s="206" t="str">
        <f t="shared" ref="AP102:AP106" si="26">IF(AI102="executado","desembolsado",AI102-15)</f>
        <v>desembolsado</v>
      </c>
      <c r="AQ102" s="206" t="str">
        <f t="shared" ref="AQ102:AQ106" si="27">IF(AJ102="executado","desembolsado",AI102+15)</f>
        <v>desembolsado</v>
      </c>
    </row>
    <row r="103" spans="1:43" x14ac:dyDescent="0.25">
      <c r="A103" s="20" t="s">
        <v>269</v>
      </c>
      <c r="B103" s="20" t="s">
        <v>62</v>
      </c>
      <c r="C103" s="20" t="s">
        <v>414</v>
      </c>
      <c r="D103" s="20" t="str">
        <f t="shared" si="17"/>
        <v>Instalações HidrossanitáriasCOB</v>
      </c>
      <c r="E103" s="20" t="s">
        <v>26</v>
      </c>
      <c r="F103" s="20" t="s">
        <v>267</v>
      </c>
      <c r="G103" s="65">
        <v>5</v>
      </c>
      <c r="H103" s="18">
        <v>44529</v>
      </c>
      <c r="I103" s="18">
        <v>44533</v>
      </c>
      <c r="J103" s="17">
        <v>44508</v>
      </c>
      <c r="K103" s="17">
        <v>44512</v>
      </c>
      <c r="L103" s="196">
        <v>0</v>
      </c>
      <c r="M103" s="21">
        <v>0</v>
      </c>
      <c r="N103" s="20"/>
      <c r="O103" s="20"/>
      <c r="P103" s="194">
        <v>1</v>
      </c>
      <c r="Q103" s="19" t="s">
        <v>63</v>
      </c>
      <c r="R103" s="19" t="s">
        <v>265</v>
      </c>
      <c r="S103" s="19" t="s">
        <v>270</v>
      </c>
      <c r="T103" s="19" t="s">
        <v>63</v>
      </c>
      <c r="U103" s="19" t="s">
        <v>34</v>
      </c>
      <c r="V103" s="225" t="s">
        <v>271</v>
      </c>
      <c r="W103" s="19"/>
      <c r="X103" s="214">
        <f t="shared" si="18"/>
        <v>0</v>
      </c>
      <c r="Y103" s="7"/>
      <c r="Z103" s="7">
        <v>1</v>
      </c>
      <c r="AA103" s="6">
        <f>IFERROR(VLOOKUP(H103,SEMANAS!$B$1:$D$301,2,0),0)</f>
        <v>16</v>
      </c>
      <c r="AB103" s="6">
        <f>IFERROR(VLOOKUP(I103,SEMANAS!$B$1:$D$301,2,0),0)</f>
        <v>16</v>
      </c>
      <c r="AC103" s="16">
        <f t="shared" si="19"/>
        <v>0</v>
      </c>
      <c r="AD103" s="10">
        <f>K103-J103+1</f>
        <v>5</v>
      </c>
      <c r="AE103" s="10"/>
      <c r="AF103" s="10">
        <f>IFERROR(VLOOKUP(J103,SEMANAS!$B$1:$D$301,2,0),0)</f>
        <v>13</v>
      </c>
      <c r="AG103" s="10">
        <f>IFERROR(VLOOKUP(K103,SEMANAS!$B$1:$D$301,2,0),0)</f>
        <v>13</v>
      </c>
      <c r="AH103" s="11">
        <f t="shared" si="20"/>
        <v>0</v>
      </c>
      <c r="AI103" s="206" t="str">
        <f>IF(P103&gt;0,"executado",VLOOKUP(D103,'REPLAN - Agilean'!$A$6:$C$127,2,0))</f>
        <v>executado</v>
      </c>
      <c r="AJ103" s="206" t="str">
        <f>IF(P103&gt;0,"executado",VLOOKUP(D103,'REPLAN - Agilean'!$A$6:$C$127,3,0))</f>
        <v>executado</v>
      </c>
      <c r="AK103" s="3">
        <f>IFERROR(VLOOKUP(AI103,SEMANAS!$B$1:$D$301,2,0),0)</f>
        <v>0</v>
      </c>
      <c r="AL103" s="3">
        <f>IFERROR(VLOOKUP(AJ103,SEMANAS!$B$1:$D$301,2,0),0)</f>
        <v>0</v>
      </c>
      <c r="AM103" s="220">
        <f t="shared" si="25"/>
        <v>0</v>
      </c>
      <c r="AN103" s="218">
        <f>IFERROR(VLOOKUP(D103,#REF!,6,0),0)</f>
        <v>0</v>
      </c>
      <c r="AO103" s="218">
        <f>IFERROR(VLOOKUP(D103,#REF!,7,0),0)</f>
        <v>0</v>
      </c>
      <c r="AP103" s="206" t="str">
        <f t="shared" si="26"/>
        <v>desembolsado</v>
      </c>
      <c r="AQ103" s="206" t="str">
        <f t="shared" si="27"/>
        <v>desembolsado</v>
      </c>
    </row>
    <row r="104" spans="1:43" x14ac:dyDescent="0.25">
      <c r="A104" s="20" t="s">
        <v>272</v>
      </c>
      <c r="B104" s="20" t="s">
        <v>273</v>
      </c>
      <c r="C104" s="20" t="s">
        <v>415</v>
      </c>
      <c r="D104" s="20" t="str">
        <f t="shared" si="17"/>
        <v>Impermeabilização do TelhadoCOB</v>
      </c>
      <c r="E104" s="20" t="s">
        <v>26</v>
      </c>
      <c r="F104" s="20" t="s">
        <v>267</v>
      </c>
      <c r="G104" s="65">
        <v>5</v>
      </c>
      <c r="H104" s="18">
        <v>44536</v>
      </c>
      <c r="I104" s="18">
        <v>44540</v>
      </c>
      <c r="J104" s="17"/>
      <c r="K104" s="17"/>
      <c r="L104" s="196"/>
      <c r="M104" s="21">
        <v>0</v>
      </c>
      <c r="N104" s="20"/>
      <c r="O104" s="20"/>
      <c r="P104" s="194">
        <v>1</v>
      </c>
      <c r="Q104" s="19" t="s">
        <v>274</v>
      </c>
      <c r="R104" s="19" t="s">
        <v>265</v>
      </c>
      <c r="S104" s="19" t="s">
        <v>275</v>
      </c>
      <c r="T104" s="19" t="s">
        <v>276</v>
      </c>
      <c r="U104" s="19" t="s">
        <v>34</v>
      </c>
      <c r="V104" s="225" t="s">
        <v>271</v>
      </c>
      <c r="W104" s="19"/>
      <c r="X104" s="214">
        <f t="shared" si="18"/>
        <v>0</v>
      </c>
      <c r="Y104" s="7"/>
      <c r="Z104" s="7">
        <v>1</v>
      </c>
      <c r="AA104" s="6">
        <f>IFERROR(VLOOKUP(H104,SEMANAS!$B$1:$D$301,2,0),0)</f>
        <v>17</v>
      </c>
      <c r="AB104" s="6">
        <f>IFERROR(VLOOKUP(I104,SEMANAS!$B$1:$D$301,2,0),0)</f>
        <v>17</v>
      </c>
      <c r="AC104" s="16">
        <f t="shared" si="19"/>
        <v>0</v>
      </c>
      <c r="AD104" s="10"/>
      <c r="AE104" s="10"/>
      <c r="AF104" s="10">
        <f>IFERROR(VLOOKUP(J104,SEMANAS!$B$1:$D$301,2,0),0)</f>
        <v>0</v>
      </c>
      <c r="AG104" s="10">
        <f>IFERROR(VLOOKUP(K104,SEMANAS!$B$1:$D$301,2,0),0)</f>
        <v>0</v>
      </c>
      <c r="AH104" s="11">
        <f t="shared" si="20"/>
        <v>0</v>
      </c>
      <c r="AI104" s="206" t="str">
        <f>IF(P104&gt;0,"executado",VLOOKUP(D104,'REPLAN - Agilean'!$A$6:$C$127,2,0))</f>
        <v>executado</v>
      </c>
      <c r="AJ104" s="206" t="str">
        <f>IF(P104&gt;0,"executado",VLOOKUP(D104,'REPLAN - Agilean'!$A$6:$C$127,3,0))</f>
        <v>executado</v>
      </c>
      <c r="AK104" s="3">
        <f>IFERROR(VLOOKUP(AI104,SEMANAS!$B$1:$D$301,2,0),0)</f>
        <v>0</v>
      </c>
      <c r="AL104" s="3">
        <f>IFERROR(VLOOKUP(AJ104,SEMANAS!$B$1:$D$301,2,0),0)</f>
        <v>0</v>
      </c>
      <c r="AM104" s="220">
        <f t="shared" si="25"/>
        <v>0</v>
      </c>
      <c r="AN104" s="218">
        <f>IFERROR(VLOOKUP(D104,#REF!,6,0),0)</f>
        <v>0</v>
      </c>
      <c r="AO104" s="218">
        <f>IFERROR(VLOOKUP(D104,#REF!,7,0),0)</f>
        <v>0</v>
      </c>
      <c r="AP104" s="206" t="str">
        <f t="shared" si="26"/>
        <v>desembolsado</v>
      </c>
      <c r="AQ104" s="206" t="str">
        <f t="shared" si="27"/>
        <v>desembolsado</v>
      </c>
    </row>
    <row r="105" spans="1:43" x14ac:dyDescent="0.25">
      <c r="A105" s="20" t="s">
        <v>277</v>
      </c>
      <c r="B105" s="20" t="s">
        <v>278</v>
      </c>
      <c r="C105" s="20" t="s">
        <v>416</v>
      </c>
      <c r="D105" s="20" t="str">
        <f t="shared" si="17"/>
        <v>TelhadoCOB</v>
      </c>
      <c r="E105" s="20" t="s">
        <v>26</v>
      </c>
      <c r="F105" s="20" t="s">
        <v>267</v>
      </c>
      <c r="G105" s="65">
        <v>5</v>
      </c>
      <c r="H105" s="18">
        <v>44543</v>
      </c>
      <c r="I105" s="18">
        <v>44547</v>
      </c>
      <c r="J105" s="17">
        <v>44543</v>
      </c>
      <c r="K105" s="17">
        <v>44547</v>
      </c>
      <c r="L105" s="196">
        <v>51093.03</v>
      </c>
      <c r="M105" s="21">
        <v>0</v>
      </c>
      <c r="N105" s="20"/>
      <c r="O105" s="20"/>
      <c r="P105" s="194">
        <v>1</v>
      </c>
      <c r="Q105" s="19" t="s">
        <v>274</v>
      </c>
      <c r="R105" s="19" t="s">
        <v>265</v>
      </c>
      <c r="S105" s="19" t="s">
        <v>275</v>
      </c>
      <c r="T105" s="19" t="s">
        <v>279</v>
      </c>
      <c r="U105" s="19" t="s">
        <v>34</v>
      </c>
      <c r="V105" s="225">
        <v>243.7</v>
      </c>
      <c r="W105" s="19" t="s">
        <v>29</v>
      </c>
      <c r="X105" s="214">
        <f t="shared" si="18"/>
        <v>3.3293020259533443E-2</v>
      </c>
      <c r="Y105" s="7"/>
      <c r="Z105" s="7">
        <v>1</v>
      </c>
      <c r="AA105" s="6">
        <f>IFERROR(VLOOKUP(H105,SEMANAS!$B$1:$D$301,2,0),0)</f>
        <v>18</v>
      </c>
      <c r="AB105" s="6">
        <f>IFERROR(VLOOKUP(I105,SEMANAS!$B$1:$D$301,2,0),0)</f>
        <v>18</v>
      </c>
      <c r="AC105" s="16">
        <f t="shared" si="19"/>
        <v>51093.03</v>
      </c>
      <c r="AD105" s="10">
        <f>K105-J105+1</f>
        <v>5</v>
      </c>
      <c r="AE105" s="10"/>
      <c r="AF105" s="10">
        <f>IFERROR(VLOOKUP(J105,SEMANAS!$B$1:$D$301,2,0),0)</f>
        <v>18</v>
      </c>
      <c r="AG105" s="10">
        <f>IFERROR(VLOOKUP(K105,SEMANAS!$B$1:$D$301,2,0),0)</f>
        <v>18</v>
      </c>
      <c r="AH105" s="11">
        <f>P105*L105</f>
        <v>51093.03</v>
      </c>
      <c r="AI105" s="206" t="str">
        <f>IF(P105&gt;0,"executado",VLOOKUP(D105,'REPLAN - Agilean'!$A$6:$C$127,2,0))</f>
        <v>executado</v>
      </c>
      <c r="AJ105" s="206" t="str">
        <f>IF(P105&gt;0,"executado",VLOOKUP(D105,'REPLAN - Agilean'!$A$6:$C$127,3,0))</f>
        <v>executado</v>
      </c>
      <c r="AK105" s="3">
        <f>IFERROR(VLOOKUP(AI105,SEMANAS!$B$1:$D$301,2,0),0)</f>
        <v>0</v>
      </c>
      <c r="AL105" s="3">
        <f>IFERROR(VLOOKUP(AJ105,SEMANAS!$B$1:$D$301,2,0),0)</f>
        <v>0</v>
      </c>
      <c r="AM105" s="220">
        <f t="shared" si="25"/>
        <v>0</v>
      </c>
      <c r="AN105" s="218">
        <f>IFERROR(VLOOKUP(D105,#REF!,6,0),0)</f>
        <v>0</v>
      </c>
      <c r="AO105" s="218">
        <f>IFERROR(VLOOKUP(D105,#REF!,7,0),0)</f>
        <v>0</v>
      </c>
      <c r="AP105" s="206" t="str">
        <f t="shared" si="26"/>
        <v>desembolsado</v>
      </c>
      <c r="AQ105" s="206" t="str">
        <f t="shared" si="27"/>
        <v>desembolsado</v>
      </c>
    </row>
    <row r="106" spans="1:43" x14ac:dyDescent="0.25">
      <c r="A106" s="20" t="s">
        <v>280</v>
      </c>
      <c r="B106" s="20" t="s">
        <v>281</v>
      </c>
      <c r="C106" s="20" t="s">
        <v>417</v>
      </c>
      <c r="D106" s="20" t="str">
        <f t="shared" si="17"/>
        <v>Algerosas + RufosCOB</v>
      </c>
      <c r="E106" s="20" t="s">
        <v>26</v>
      </c>
      <c r="F106" s="20" t="s">
        <v>267</v>
      </c>
      <c r="G106" s="65">
        <v>5</v>
      </c>
      <c r="H106" s="18">
        <v>44550</v>
      </c>
      <c r="I106" s="18">
        <v>44554</v>
      </c>
      <c r="J106" s="17">
        <v>44550</v>
      </c>
      <c r="K106" s="17">
        <v>44554</v>
      </c>
      <c r="L106" s="196">
        <v>10092.26</v>
      </c>
      <c r="M106" s="21">
        <v>0</v>
      </c>
      <c r="N106" s="20"/>
      <c r="O106" s="20"/>
      <c r="P106" s="194">
        <v>1</v>
      </c>
      <c r="Q106" s="19" t="s">
        <v>55</v>
      </c>
      <c r="R106" s="19" t="s">
        <v>265</v>
      </c>
      <c r="S106" s="19" t="s">
        <v>268</v>
      </c>
      <c r="T106" s="19" t="s">
        <v>282</v>
      </c>
      <c r="U106" s="19" t="s">
        <v>34</v>
      </c>
      <c r="V106" s="225">
        <v>75.180000000000007</v>
      </c>
      <c r="W106" s="19" t="s">
        <v>123</v>
      </c>
      <c r="X106" s="214">
        <f t="shared" si="18"/>
        <v>6.5762750152903249E-3</v>
      </c>
      <c r="Y106" s="7"/>
      <c r="Z106" s="7">
        <v>1</v>
      </c>
      <c r="AA106" s="6">
        <f>IFERROR(VLOOKUP(H106,SEMANAS!$B$1:$D$301,2,0),0)</f>
        <v>19</v>
      </c>
      <c r="AB106" s="6">
        <f>IFERROR(VLOOKUP(I106,SEMANAS!$B$1:$D$301,2,0),0)</f>
        <v>19</v>
      </c>
      <c r="AC106" s="16">
        <f t="shared" si="19"/>
        <v>10092.26</v>
      </c>
      <c r="AD106" s="10">
        <f>K106-J106+1</f>
        <v>5</v>
      </c>
      <c r="AE106" s="10"/>
      <c r="AF106" s="10">
        <f>IFERROR(VLOOKUP(J106,SEMANAS!$B$1:$D$301,2,0),0)</f>
        <v>19</v>
      </c>
      <c r="AG106" s="10">
        <f>IFERROR(VLOOKUP(K106,SEMANAS!$B$1:$D$301,2,0),0)</f>
        <v>19</v>
      </c>
      <c r="AH106" s="11">
        <f t="shared" si="20"/>
        <v>10092.26</v>
      </c>
      <c r="AI106" s="206" t="str">
        <f>IF(P106&gt;0,"executado",VLOOKUP(D106,'REPLAN - Agilean'!$A$6:$C$127,2,0))</f>
        <v>executado</v>
      </c>
      <c r="AJ106" s="206" t="str">
        <f>IF(P106&gt;0,"executado",VLOOKUP(D106,'REPLAN - Agilean'!$A$6:$C$127,3,0))</f>
        <v>executado</v>
      </c>
      <c r="AK106" s="3">
        <f>IFERROR(VLOOKUP(AI106,SEMANAS!$B$1:$D$301,2,0),0)</f>
        <v>0</v>
      </c>
      <c r="AL106" s="3">
        <f>IFERROR(VLOOKUP(AJ106,SEMANAS!$B$1:$D$301,2,0),0)</f>
        <v>0</v>
      </c>
      <c r="AM106" s="220">
        <f t="shared" si="25"/>
        <v>0</v>
      </c>
      <c r="AN106" s="218">
        <f>IFERROR(VLOOKUP(D106,#REF!,6,0),0)</f>
        <v>0</v>
      </c>
      <c r="AO106" s="218">
        <f>IFERROR(VLOOKUP(D106,#REF!,7,0),0)</f>
        <v>0</v>
      </c>
      <c r="AP106" s="206" t="str">
        <f t="shared" si="26"/>
        <v>desembolsado</v>
      </c>
      <c r="AQ106" s="206" t="str">
        <f t="shared" si="27"/>
        <v>desembolsado</v>
      </c>
    </row>
    <row r="107" spans="1:43" x14ac:dyDescent="0.25">
      <c r="A107" s="20">
        <v>3</v>
      </c>
      <c r="B107" s="20" t="s">
        <v>283</v>
      </c>
      <c r="C107" s="20"/>
      <c r="D107" s="20" t="str">
        <f t="shared" si="17"/>
        <v>FACHADA</v>
      </c>
      <c r="E107" s="20"/>
      <c r="F107" s="20"/>
      <c r="G107" s="65">
        <v>84</v>
      </c>
      <c r="H107" s="18">
        <v>44526</v>
      </c>
      <c r="I107" s="18">
        <v>44643</v>
      </c>
      <c r="J107" s="17"/>
      <c r="K107" s="17"/>
      <c r="L107" s="196"/>
      <c r="M107" s="21">
        <v>0</v>
      </c>
      <c r="N107" s="20"/>
      <c r="O107" s="20"/>
      <c r="P107" s="194">
        <v>0</v>
      </c>
      <c r="Q107" s="19"/>
      <c r="R107" s="19"/>
      <c r="S107" s="19" t="s">
        <v>51</v>
      </c>
      <c r="T107" s="19">
        <v>0</v>
      </c>
      <c r="U107" s="19">
        <v>0</v>
      </c>
      <c r="V107" s="225"/>
      <c r="W107" s="19"/>
      <c r="X107" s="214">
        <f t="shared" si="18"/>
        <v>0</v>
      </c>
      <c r="Y107" s="6"/>
      <c r="Z107" s="6"/>
      <c r="AA107" s="6">
        <f>IFERROR(VLOOKUP(H107,SEMANAS!$B$1:$D$301,2,0),0)</f>
        <v>15</v>
      </c>
      <c r="AB107" s="6">
        <f>IFERROR(VLOOKUP(I107,SEMANAS!$B$1:$D$301,2,0),0)</f>
        <v>32</v>
      </c>
      <c r="AC107" s="16">
        <f t="shared" si="19"/>
        <v>0</v>
      </c>
      <c r="AD107" s="10"/>
      <c r="AE107" s="10"/>
      <c r="AF107" s="10">
        <f>IFERROR(VLOOKUP(J107,SEMANAS!$B$1:$D$301,2,0),0)</f>
        <v>0</v>
      </c>
      <c r="AG107" s="10">
        <f>IFERROR(VLOOKUP(K107,SEMANAS!$B$1:$D$301,2,0),0)</f>
        <v>0</v>
      </c>
      <c r="AH107" s="11">
        <f t="shared" si="20"/>
        <v>0</v>
      </c>
      <c r="AI107" s="206">
        <f>IF(P107&gt;0,"executado",VLOOKUP(D107,'REPLAN - Agilean'!$A$6:$C$127,2,0))</f>
        <v>44564</v>
      </c>
      <c r="AJ107" s="206">
        <f>IF(P107&gt;0,"executado",VLOOKUP(D107,'REPLAN - Agilean'!$A$6:$C$127,3,0))</f>
        <v>44643</v>
      </c>
      <c r="AK107" s="3">
        <f>IFERROR(VLOOKUP(AI107,SEMANAS!$B$1:$D$301,2,0),0)</f>
        <v>21</v>
      </c>
      <c r="AL107" s="3">
        <f>IFERROR(VLOOKUP(AJ107,SEMANAS!$B$1:$D$301,2,0),0)</f>
        <v>32</v>
      </c>
      <c r="AM107" s="3">
        <f t="shared" si="21"/>
        <v>0</v>
      </c>
      <c r="AN107" s="3">
        <f>IFERROR(VLOOKUP(D107,#REF!,6,0),0)</f>
        <v>0</v>
      </c>
      <c r="AO107" s="3"/>
      <c r="AP107" s="3"/>
      <c r="AQ107" s="3"/>
    </row>
    <row r="108" spans="1:43" x14ac:dyDescent="0.25">
      <c r="A108" s="20" t="s">
        <v>284</v>
      </c>
      <c r="B108" s="20" t="s">
        <v>285</v>
      </c>
      <c r="C108" s="20"/>
      <c r="D108" s="20" t="str">
        <f t="shared" si="17"/>
        <v>PANO 1</v>
      </c>
      <c r="E108" s="20"/>
      <c r="F108" s="20"/>
      <c r="G108" s="65">
        <v>59</v>
      </c>
      <c r="H108" s="18">
        <v>44526</v>
      </c>
      <c r="I108" s="18">
        <v>44608</v>
      </c>
      <c r="J108" s="17"/>
      <c r="K108" s="17"/>
      <c r="L108" s="196"/>
      <c r="M108" s="21">
        <v>0</v>
      </c>
      <c r="N108" s="20"/>
      <c r="O108" s="20"/>
      <c r="P108" s="194">
        <v>0</v>
      </c>
      <c r="Q108" s="19"/>
      <c r="R108" s="19"/>
      <c r="S108" s="19" t="s">
        <v>51</v>
      </c>
      <c r="T108" s="19">
        <v>0</v>
      </c>
      <c r="U108" s="19">
        <v>0</v>
      </c>
      <c r="V108" s="225"/>
      <c r="W108" s="19"/>
      <c r="X108" s="214">
        <f t="shared" si="18"/>
        <v>0</v>
      </c>
      <c r="Y108" s="6"/>
      <c r="Z108" s="6"/>
      <c r="AA108" s="6">
        <f>IFERROR(VLOOKUP(H108,SEMANAS!$B$1:$D$301,2,0),0)</f>
        <v>15</v>
      </c>
      <c r="AB108" s="6">
        <f>IFERROR(VLOOKUP(I108,SEMANAS!$B$1:$D$301,2,0),0)</f>
        <v>27</v>
      </c>
      <c r="AC108" s="16">
        <f t="shared" si="19"/>
        <v>0</v>
      </c>
      <c r="AD108" s="10"/>
      <c r="AE108" s="10"/>
      <c r="AF108" s="10">
        <f>IFERROR(VLOOKUP(J108,SEMANAS!$B$1:$D$301,2,0),0)</f>
        <v>0</v>
      </c>
      <c r="AG108" s="10">
        <f>IFERROR(VLOOKUP(K108,SEMANAS!$B$1:$D$301,2,0),0)</f>
        <v>0</v>
      </c>
      <c r="AH108" s="11">
        <f t="shared" si="20"/>
        <v>0</v>
      </c>
      <c r="AI108" s="206">
        <f>IF(P108&gt;0,"executado",VLOOKUP(D108,'REPLAN - Agilean'!$A$6:$C$127,2,0))</f>
        <v>44564</v>
      </c>
      <c r="AJ108" s="206">
        <f>IF(P108&gt;0,"executado",VLOOKUP(D108,'REPLAN - Agilean'!$A$6:$C$127,3,0))</f>
        <v>44608</v>
      </c>
      <c r="AK108" s="3">
        <f>IFERROR(VLOOKUP(AI108,SEMANAS!$B$1:$D$301,2,0),0)</f>
        <v>21</v>
      </c>
      <c r="AL108" s="3">
        <f>IFERROR(VLOOKUP(AJ108,SEMANAS!$B$1:$D$301,2,0),0)</f>
        <v>27</v>
      </c>
      <c r="AM108" s="3">
        <f t="shared" si="21"/>
        <v>0</v>
      </c>
      <c r="AN108" s="3">
        <f>IFERROR(VLOOKUP(D108,#REF!,6,0),0)</f>
        <v>0</v>
      </c>
      <c r="AO108" s="3"/>
      <c r="AP108" s="3"/>
      <c r="AQ108" s="3"/>
    </row>
    <row r="109" spans="1:43" x14ac:dyDescent="0.25">
      <c r="A109" s="20" t="s">
        <v>286</v>
      </c>
      <c r="B109" s="20" t="s">
        <v>287</v>
      </c>
      <c r="C109" s="20" t="s">
        <v>418</v>
      </c>
      <c r="D109" s="20" t="str">
        <f t="shared" si="17"/>
        <v>Reboco ExternoPANO1</v>
      </c>
      <c r="E109" s="20" t="s">
        <v>26</v>
      </c>
      <c r="F109" s="20" t="s">
        <v>283</v>
      </c>
      <c r="G109" s="65">
        <v>5</v>
      </c>
      <c r="H109" s="18">
        <v>44526</v>
      </c>
      <c r="I109" s="18">
        <v>44532</v>
      </c>
      <c r="J109" s="17"/>
      <c r="K109" s="17"/>
      <c r="L109" s="196">
        <v>14038.64</v>
      </c>
      <c r="M109" s="21">
        <v>0</v>
      </c>
      <c r="N109" s="20"/>
      <c r="O109" s="20"/>
      <c r="P109" s="194">
        <v>0</v>
      </c>
      <c r="Q109" s="19" t="s">
        <v>288</v>
      </c>
      <c r="R109" s="19" t="s">
        <v>289</v>
      </c>
      <c r="S109" s="19" t="s">
        <v>290</v>
      </c>
      <c r="T109" s="19" t="s">
        <v>291</v>
      </c>
      <c r="U109" s="19" t="s">
        <v>34</v>
      </c>
      <c r="V109" s="225">
        <v>126.22</v>
      </c>
      <c r="W109" s="19" t="s">
        <v>29</v>
      </c>
      <c r="X109" s="214">
        <f t="shared" si="18"/>
        <v>9.1477981622208864E-3</v>
      </c>
      <c r="Y109" s="7"/>
      <c r="Z109" s="7">
        <v>1</v>
      </c>
      <c r="AA109" s="6">
        <f>IFERROR(VLOOKUP(H109,SEMANAS!$B$1:$D$301,2,0),0)</f>
        <v>15</v>
      </c>
      <c r="AB109" s="6">
        <f>IFERROR(VLOOKUP(I109,SEMANAS!$B$1:$D$301,2,0),0)</f>
        <v>16</v>
      </c>
      <c r="AC109" s="16">
        <f t="shared" si="19"/>
        <v>14038.64</v>
      </c>
      <c r="AD109" s="10"/>
      <c r="AE109" s="10"/>
      <c r="AF109" s="10">
        <f>IFERROR(VLOOKUP(J109,SEMANAS!$B$1:$D$301,2,0),0)</f>
        <v>0</v>
      </c>
      <c r="AG109" s="10">
        <f>IFERROR(VLOOKUP(K109,SEMANAS!$B$1:$D$301,2,0),0)</f>
        <v>0</v>
      </c>
      <c r="AH109" s="11">
        <f t="shared" si="20"/>
        <v>0</v>
      </c>
      <c r="AI109" s="206">
        <f>IF(P109&gt;0,"executado",VLOOKUP(D109,'REPLAN - Agilean'!$A$6:$C$127,2,0))</f>
        <v>44564</v>
      </c>
      <c r="AJ109" s="206">
        <f>IF(P109&gt;0,"executado",VLOOKUP(D109,'REPLAN - Agilean'!$A$6:$C$127,3,0))</f>
        <v>44568</v>
      </c>
      <c r="AK109" s="3">
        <f>IFERROR(VLOOKUP(AI109,SEMANAS!$B$1:$D$301,2,0),0)</f>
        <v>21</v>
      </c>
      <c r="AL109" s="3">
        <f>IFERROR(VLOOKUP(AJ109,SEMANAS!$B$1:$D$301,2,0),0)</f>
        <v>21</v>
      </c>
      <c r="AM109" s="220">
        <f t="shared" ref="AM109:AM110" si="28">IF(AL109&lt;=0,0,L109)</f>
        <v>14038.64</v>
      </c>
      <c r="AN109" s="218">
        <f>IFERROR(VLOOKUP(D109,#REF!,6,0),0)</f>
        <v>0</v>
      </c>
      <c r="AO109" s="218">
        <f>IFERROR(VLOOKUP(D109,#REF!,7,0),0)</f>
        <v>0</v>
      </c>
      <c r="AP109" s="206">
        <f t="shared" ref="AP109:AP110" si="29">IF(AI109="executado","desembolsado",AI109-15)</f>
        <v>44549</v>
      </c>
      <c r="AQ109" s="206">
        <f t="shared" ref="AQ109:AQ110" si="30">IF(AJ109="executado","desembolsado",AI109+15)</f>
        <v>44579</v>
      </c>
    </row>
    <row r="110" spans="1:43" x14ac:dyDescent="0.25">
      <c r="A110" s="20" t="s">
        <v>292</v>
      </c>
      <c r="B110" s="20" t="s">
        <v>293</v>
      </c>
      <c r="C110" s="20" t="s">
        <v>419</v>
      </c>
      <c r="D110" s="20" t="str">
        <f t="shared" si="17"/>
        <v>Pintura Externa PANO1</v>
      </c>
      <c r="E110" s="20" t="s">
        <v>26</v>
      </c>
      <c r="F110" s="20" t="s">
        <v>283</v>
      </c>
      <c r="G110" s="65">
        <v>5</v>
      </c>
      <c r="H110" s="18">
        <v>44602</v>
      </c>
      <c r="I110" s="18">
        <v>44608</v>
      </c>
      <c r="J110" s="17"/>
      <c r="K110" s="17"/>
      <c r="L110" s="196">
        <v>6273.9</v>
      </c>
      <c r="M110" s="21">
        <v>0</v>
      </c>
      <c r="N110" s="20"/>
      <c r="O110" s="20"/>
      <c r="P110" s="194">
        <v>0</v>
      </c>
      <c r="Q110" s="19" t="s">
        <v>288</v>
      </c>
      <c r="R110" s="19" t="s">
        <v>289</v>
      </c>
      <c r="S110" s="19" t="s">
        <v>290</v>
      </c>
      <c r="T110" s="19" t="s">
        <v>294</v>
      </c>
      <c r="U110" s="19" t="s">
        <v>34</v>
      </c>
      <c r="V110" s="225">
        <v>126.22</v>
      </c>
      <c r="W110" s="19" t="s">
        <v>29</v>
      </c>
      <c r="X110" s="214">
        <f t="shared" si="18"/>
        <v>4.0881717096497676E-3</v>
      </c>
      <c r="Y110" s="6"/>
      <c r="Z110" s="6"/>
      <c r="AA110" s="6">
        <f>IFERROR(VLOOKUP(H110,SEMANAS!$B$1:$D$301,2,0),0)</f>
        <v>26</v>
      </c>
      <c r="AB110" s="6">
        <f>IFERROR(VLOOKUP(I110,SEMANAS!$B$1:$D$301,2,0),0)</f>
        <v>27</v>
      </c>
      <c r="AC110" s="16">
        <f t="shared" si="19"/>
        <v>0</v>
      </c>
      <c r="AD110" s="10"/>
      <c r="AE110" s="10"/>
      <c r="AF110" s="10">
        <f>IFERROR(VLOOKUP(J110,SEMANAS!$B$1:$D$301,2,0),0)</f>
        <v>0</v>
      </c>
      <c r="AG110" s="10">
        <f>IFERROR(VLOOKUP(K110,SEMANAS!$B$1:$D$301,2,0),0)</f>
        <v>0</v>
      </c>
      <c r="AH110" s="11">
        <f t="shared" si="20"/>
        <v>0</v>
      </c>
      <c r="AI110" s="206">
        <f>IF(P110&gt;0,"executado",VLOOKUP(D110,'REPLAN - Agilean'!$A$6:$C$127,2,0))</f>
        <v>44602</v>
      </c>
      <c r="AJ110" s="206">
        <f>IF(P110&gt;0,"executado",VLOOKUP(D110,'REPLAN - Agilean'!$A$6:$C$127,3,0))</f>
        <v>44608</v>
      </c>
      <c r="AK110" s="3">
        <f>IFERROR(VLOOKUP(AI110,SEMANAS!$B$1:$D$301,2,0),0)</f>
        <v>26</v>
      </c>
      <c r="AL110" s="3">
        <f>IFERROR(VLOOKUP(AJ110,SEMANAS!$B$1:$D$301,2,0),0)</f>
        <v>27</v>
      </c>
      <c r="AM110" s="220">
        <f t="shared" si="28"/>
        <v>6273.9</v>
      </c>
      <c r="AN110" s="218">
        <f>IFERROR(VLOOKUP(D110,#REF!,6,0),0)</f>
        <v>0</v>
      </c>
      <c r="AO110" s="218">
        <f>IFERROR(VLOOKUP(D110,#REF!,7,0),0)</f>
        <v>0</v>
      </c>
      <c r="AP110" s="206">
        <f t="shared" si="29"/>
        <v>44587</v>
      </c>
      <c r="AQ110" s="206">
        <f t="shared" si="30"/>
        <v>44617</v>
      </c>
    </row>
    <row r="111" spans="1:43" x14ac:dyDescent="0.25">
      <c r="A111" s="20" t="s">
        <v>295</v>
      </c>
      <c r="B111" s="20" t="s">
        <v>296</v>
      </c>
      <c r="C111" s="20"/>
      <c r="D111" s="20" t="str">
        <f t="shared" si="17"/>
        <v>PANO 2</v>
      </c>
      <c r="E111" s="20"/>
      <c r="F111" s="20"/>
      <c r="G111" s="65">
        <v>59</v>
      </c>
      <c r="H111" s="18">
        <v>44533</v>
      </c>
      <c r="I111" s="18">
        <v>44615</v>
      </c>
      <c r="J111" s="17"/>
      <c r="K111" s="17"/>
      <c r="L111" s="196"/>
      <c r="M111" s="21">
        <v>0</v>
      </c>
      <c r="N111" s="20"/>
      <c r="O111" s="20"/>
      <c r="P111" s="194">
        <v>0</v>
      </c>
      <c r="Q111" s="19"/>
      <c r="R111" s="19"/>
      <c r="S111" s="19" t="s">
        <v>51</v>
      </c>
      <c r="T111" s="19">
        <v>0</v>
      </c>
      <c r="U111" s="19">
        <v>0</v>
      </c>
      <c r="V111" s="225"/>
      <c r="W111" s="19"/>
      <c r="X111" s="214">
        <f t="shared" si="18"/>
        <v>0</v>
      </c>
      <c r="Y111" s="6"/>
      <c r="Z111" s="6"/>
      <c r="AA111" s="6">
        <f>IFERROR(VLOOKUP(H111,SEMANAS!$B$1:$D$301,2,0),0)</f>
        <v>16</v>
      </c>
      <c r="AB111" s="6">
        <f>IFERROR(VLOOKUP(I111,SEMANAS!$B$1:$D$301,2,0),0)</f>
        <v>28</v>
      </c>
      <c r="AC111" s="16">
        <f t="shared" si="19"/>
        <v>0</v>
      </c>
      <c r="AD111" s="10"/>
      <c r="AE111" s="10"/>
      <c r="AF111" s="10">
        <f>IFERROR(VLOOKUP(J111,SEMANAS!$B$1:$D$301,2,0),0)</f>
        <v>0</v>
      </c>
      <c r="AG111" s="10">
        <f>IFERROR(VLOOKUP(K111,SEMANAS!$B$1:$D$301,2,0),0)</f>
        <v>0</v>
      </c>
      <c r="AH111" s="11">
        <f t="shared" si="20"/>
        <v>0</v>
      </c>
      <c r="AI111" s="206">
        <f>IF(P111&gt;0,"executado",VLOOKUP(D111,'REPLAN - Agilean'!$A$6:$C$127,2,0))</f>
        <v>44564</v>
      </c>
      <c r="AJ111" s="206">
        <f>IF(P111&gt;0,"executado",VLOOKUP(D111,'REPLAN - Agilean'!$A$6:$C$127,3,0))</f>
        <v>44615</v>
      </c>
      <c r="AK111" s="3">
        <f>IFERROR(VLOOKUP(AI111,SEMANAS!$B$1:$D$301,2,0),0)</f>
        <v>21</v>
      </c>
      <c r="AL111" s="3">
        <f>IFERROR(VLOOKUP(AJ111,SEMANAS!$B$1:$D$301,2,0),0)</f>
        <v>28</v>
      </c>
      <c r="AM111" s="3">
        <f t="shared" si="21"/>
        <v>0</v>
      </c>
      <c r="AN111" s="3">
        <f>IFERROR(VLOOKUP(D111,#REF!,6,0),0)</f>
        <v>0</v>
      </c>
      <c r="AO111" s="3"/>
      <c r="AP111" s="3"/>
      <c r="AQ111" s="3"/>
    </row>
    <row r="112" spans="1:43" x14ac:dyDescent="0.25">
      <c r="A112" s="20" t="s">
        <v>297</v>
      </c>
      <c r="B112" s="20" t="s">
        <v>287</v>
      </c>
      <c r="C112" s="20" t="s">
        <v>418</v>
      </c>
      <c r="D112" s="20" t="str">
        <f t="shared" si="17"/>
        <v>Reboco ExternoPANO2</v>
      </c>
      <c r="E112" s="20" t="s">
        <v>26</v>
      </c>
      <c r="F112" s="20" t="s">
        <v>283</v>
      </c>
      <c r="G112" s="65">
        <v>5</v>
      </c>
      <c r="H112" s="18">
        <v>44533</v>
      </c>
      <c r="I112" s="18">
        <v>44539</v>
      </c>
      <c r="J112" s="17"/>
      <c r="K112" s="17"/>
      <c r="L112" s="196">
        <v>15850.42</v>
      </c>
      <c r="M112" s="21">
        <v>0</v>
      </c>
      <c r="N112" s="20"/>
      <c r="O112" s="20"/>
      <c r="P112" s="194">
        <v>0</v>
      </c>
      <c r="Q112" s="19" t="s">
        <v>288</v>
      </c>
      <c r="R112" s="19" t="s">
        <v>298</v>
      </c>
      <c r="S112" s="19" t="s">
        <v>299</v>
      </c>
      <c r="T112" s="19" t="s">
        <v>291</v>
      </c>
      <c r="U112" s="19" t="s">
        <v>34</v>
      </c>
      <c r="V112" s="225">
        <v>142.51</v>
      </c>
      <c r="W112" s="19" t="s">
        <v>29</v>
      </c>
      <c r="X112" s="214">
        <f t="shared" si="18"/>
        <v>1.0328382446335911E-2</v>
      </c>
      <c r="Y112" s="7"/>
      <c r="Z112" s="7">
        <v>1</v>
      </c>
      <c r="AA112" s="6">
        <f>IFERROR(VLOOKUP(H112,SEMANAS!$B$1:$D$301,2,0),0)</f>
        <v>16</v>
      </c>
      <c r="AB112" s="6">
        <f>IFERROR(VLOOKUP(I112,SEMANAS!$B$1:$D$301,2,0),0)</f>
        <v>17</v>
      </c>
      <c r="AC112" s="16">
        <f t="shared" si="19"/>
        <v>15850.42</v>
      </c>
      <c r="AD112" s="10"/>
      <c r="AE112" s="10"/>
      <c r="AF112" s="10">
        <f>IFERROR(VLOOKUP(J112,SEMANAS!$B$1:$D$301,2,0),0)</f>
        <v>0</v>
      </c>
      <c r="AG112" s="10">
        <f>IFERROR(VLOOKUP(K112,SEMANAS!$B$1:$D$301,2,0),0)</f>
        <v>0</v>
      </c>
      <c r="AH112" s="11">
        <f t="shared" si="20"/>
        <v>0</v>
      </c>
      <c r="AI112" s="206">
        <f>IF(P112&gt;0,"executado",VLOOKUP(D112,'REPLAN - Agilean'!$A$6:$C$127,2,0))</f>
        <v>44564</v>
      </c>
      <c r="AJ112" s="206">
        <f>IF(P112&gt;0,"executado",VLOOKUP(D112,'REPLAN - Agilean'!$A$6:$C$127,3,0))</f>
        <v>44568</v>
      </c>
      <c r="AK112" s="3">
        <f>IFERROR(VLOOKUP(AI112,SEMANAS!$B$1:$D$301,2,0),0)</f>
        <v>21</v>
      </c>
      <c r="AL112" s="3">
        <f>IFERROR(VLOOKUP(AJ112,SEMANAS!$B$1:$D$301,2,0),0)</f>
        <v>21</v>
      </c>
      <c r="AM112" s="220">
        <f t="shared" ref="AM112:AM113" si="31">IF(AL112&lt;=0,0,L112)</f>
        <v>15850.42</v>
      </c>
      <c r="AN112" s="218">
        <f>IFERROR(VLOOKUP(D112,#REF!,6,0),0)</f>
        <v>0</v>
      </c>
      <c r="AO112" s="218">
        <f>IFERROR(VLOOKUP(D112,#REF!,7,0),0)</f>
        <v>0</v>
      </c>
      <c r="AP112" s="206">
        <f t="shared" ref="AP112:AP113" si="32">IF(AI112="executado","desembolsado",AI112-15)</f>
        <v>44549</v>
      </c>
      <c r="AQ112" s="206">
        <f t="shared" ref="AQ112:AQ113" si="33">IF(AJ112="executado","desembolsado",AI112+15)</f>
        <v>44579</v>
      </c>
    </row>
    <row r="113" spans="1:43" x14ac:dyDescent="0.25">
      <c r="A113" s="20" t="s">
        <v>300</v>
      </c>
      <c r="B113" s="20" t="s">
        <v>293</v>
      </c>
      <c r="C113" s="20" t="s">
        <v>419</v>
      </c>
      <c r="D113" s="20" t="str">
        <f t="shared" si="17"/>
        <v>Pintura Externa PANO2</v>
      </c>
      <c r="E113" s="20" t="s">
        <v>26</v>
      </c>
      <c r="F113" s="20" t="s">
        <v>283</v>
      </c>
      <c r="G113" s="65">
        <v>5</v>
      </c>
      <c r="H113" s="18">
        <v>44609</v>
      </c>
      <c r="I113" s="18">
        <v>44615</v>
      </c>
      <c r="J113" s="17"/>
      <c r="K113" s="17"/>
      <c r="L113" s="196">
        <v>7083.6</v>
      </c>
      <c r="M113" s="21">
        <v>0</v>
      </c>
      <c r="N113" s="20"/>
      <c r="O113" s="20"/>
      <c r="P113" s="194">
        <v>0</v>
      </c>
      <c r="Q113" s="19" t="s">
        <v>288</v>
      </c>
      <c r="R113" s="19" t="s">
        <v>298</v>
      </c>
      <c r="S113" s="19" t="s">
        <v>299</v>
      </c>
      <c r="T113" s="19" t="s">
        <v>294</v>
      </c>
      <c r="U113" s="19" t="s">
        <v>34</v>
      </c>
      <c r="V113" s="225">
        <v>142.51</v>
      </c>
      <c r="W113" s="19" t="s">
        <v>29</v>
      </c>
      <c r="X113" s="214">
        <f t="shared" si="18"/>
        <v>4.6157849379931297E-3</v>
      </c>
      <c r="Y113" s="6"/>
      <c r="Z113" s="6"/>
      <c r="AA113" s="6">
        <f>IFERROR(VLOOKUP(H113,SEMANAS!$B$1:$D$301,2,0),0)</f>
        <v>27</v>
      </c>
      <c r="AB113" s="6">
        <f>IFERROR(VLOOKUP(I113,SEMANAS!$B$1:$D$301,2,0),0)</f>
        <v>28</v>
      </c>
      <c r="AC113" s="16">
        <f t="shared" si="19"/>
        <v>0</v>
      </c>
      <c r="AD113" s="10"/>
      <c r="AE113" s="10"/>
      <c r="AF113" s="10">
        <f>IFERROR(VLOOKUP(J113,SEMANAS!$B$1:$D$301,2,0),0)</f>
        <v>0</v>
      </c>
      <c r="AG113" s="10">
        <f>IFERROR(VLOOKUP(K113,SEMANAS!$B$1:$D$301,2,0),0)</f>
        <v>0</v>
      </c>
      <c r="AH113" s="11">
        <f t="shared" si="20"/>
        <v>0</v>
      </c>
      <c r="AI113" s="206">
        <f>IF(P113&gt;0,"executado",VLOOKUP(D113,'REPLAN - Agilean'!$A$6:$C$127,2,0))</f>
        <v>44609</v>
      </c>
      <c r="AJ113" s="206">
        <f>IF(P113&gt;0,"executado",VLOOKUP(D113,'REPLAN - Agilean'!$A$6:$C$127,3,0))</f>
        <v>44615</v>
      </c>
      <c r="AK113" s="3">
        <f>IFERROR(VLOOKUP(AI113,SEMANAS!$B$1:$D$301,2,0),0)</f>
        <v>27</v>
      </c>
      <c r="AL113" s="3">
        <f>IFERROR(VLOOKUP(AJ113,SEMANAS!$B$1:$D$301,2,0),0)</f>
        <v>28</v>
      </c>
      <c r="AM113" s="220">
        <f t="shared" si="31"/>
        <v>7083.6</v>
      </c>
      <c r="AN113" s="218">
        <f>IFERROR(VLOOKUP(D113,#REF!,6,0),0)</f>
        <v>0</v>
      </c>
      <c r="AO113" s="218">
        <f>IFERROR(VLOOKUP(D113,#REF!,7,0),0)</f>
        <v>0</v>
      </c>
      <c r="AP113" s="206">
        <f t="shared" si="32"/>
        <v>44594</v>
      </c>
      <c r="AQ113" s="206">
        <f t="shared" si="33"/>
        <v>44624</v>
      </c>
    </row>
    <row r="114" spans="1:43" x14ac:dyDescent="0.25">
      <c r="A114" s="20" t="s">
        <v>301</v>
      </c>
      <c r="B114" s="20" t="s">
        <v>302</v>
      </c>
      <c r="C114" s="20"/>
      <c r="D114" s="20" t="str">
        <f t="shared" si="17"/>
        <v>PANO 3</v>
      </c>
      <c r="E114" s="20"/>
      <c r="F114" s="20"/>
      <c r="G114" s="65">
        <v>59</v>
      </c>
      <c r="H114" s="18">
        <v>44540</v>
      </c>
      <c r="I114" s="18">
        <v>44622</v>
      </c>
      <c r="J114" s="17"/>
      <c r="K114" s="17"/>
      <c r="L114" s="196"/>
      <c r="M114" s="21">
        <v>0</v>
      </c>
      <c r="N114" s="20"/>
      <c r="O114" s="20"/>
      <c r="P114" s="194">
        <v>0</v>
      </c>
      <c r="Q114" s="19"/>
      <c r="R114" s="19"/>
      <c r="S114" s="19" t="s">
        <v>51</v>
      </c>
      <c r="T114" s="19">
        <v>0</v>
      </c>
      <c r="U114" s="19">
        <v>0</v>
      </c>
      <c r="V114" s="225"/>
      <c r="W114" s="19"/>
      <c r="X114" s="214">
        <f t="shared" si="18"/>
        <v>0</v>
      </c>
      <c r="Y114" s="6"/>
      <c r="Z114" s="6"/>
      <c r="AA114" s="6">
        <f>IFERROR(VLOOKUP(H114,SEMANAS!$B$1:$D$301,2,0),0)</f>
        <v>17</v>
      </c>
      <c r="AB114" s="6">
        <f>IFERROR(VLOOKUP(I114,SEMANAS!$B$1:$D$301,2,0),0)</f>
        <v>29</v>
      </c>
      <c r="AC114" s="16">
        <f t="shared" si="19"/>
        <v>0</v>
      </c>
      <c r="AD114" s="10"/>
      <c r="AE114" s="10"/>
      <c r="AF114" s="10">
        <f>IFERROR(VLOOKUP(J114,SEMANAS!$B$1:$D$301,2,0),0)</f>
        <v>0</v>
      </c>
      <c r="AG114" s="10">
        <f>IFERROR(VLOOKUP(K114,SEMANAS!$B$1:$D$301,2,0),0)</f>
        <v>0</v>
      </c>
      <c r="AH114" s="11">
        <f t="shared" si="20"/>
        <v>0</v>
      </c>
      <c r="AI114" s="206">
        <f>IF(P114&gt;0,"executado",VLOOKUP(D114,'REPLAN - Agilean'!$A$6:$C$127,2,0))</f>
        <v>44571</v>
      </c>
      <c r="AJ114" s="206">
        <f>IF(P114&gt;0,"executado",VLOOKUP(D114,'REPLAN - Agilean'!$A$6:$C$127,3,0))</f>
        <v>44622</v>
      </c>
      <c r="AK114" s="3">
        <f>IFERROR(VLOOKUP(AI114,SEMANAS!$B$1:$D$301,2,0),0)</f>
        <v>22</v>
      </c>
      <c r="AL114" s="3">
        <f>IFERROR(VLOOKUP(AJ114,SEMANAS!$B$1:$D$301,2,0),0)</f>
        <v>29</v>
      </c>
      <c r="AM114" s="3">
        <f t="shared" si="21"/>
        <v>0</v>
      </c>
      <c r="AN114" s="3">
        <f>IFERROR(VLOOKUP(D114,#REF!,6,0),0)</f>
        <v>0</v>
      </c>
      <c r="AO114" s="3"/>
      <c r="AP114" s="3"/>
      <c r="AQ114" s="3"/>
    </row>
    <row r="115" spans="1:43" x14ac:dyDescent="0.25">
      <c r="A115" s="20" t="s">
        <v>303</v>
      </c>
      <c r="B115" s="20" t="s">
        <v>287</v>
      </c>
      <c r="C115" s="20" t="s">
        <v>418</v>
      </c>
      <c r="D115" s="20" t="str">
        <f t="shared" si="17"/>
        <v>Reboco ExternoPANO3</v>
      </c>
      <c r="E115" s="20" t="s">
        <v>26</v>
      </c>
      <c r="F115" s="20" t="s">
        <v>283</v>
      </c>
      <c r="G115" s="65">
        <v>5</v>
      </c>
      <c r="H115" s="18">
        <v>44540</v>
      </c>
      <c r="I115" s="18">
        <v>44546</v>
      </c>
      <c r="J115" s="17"/>
      <c r="K115" s="17"/>
      <c r="L115" s="196">
        <v>12614.4</v>
      </c>
      <c r="M115" s="21">
        <v>0</v>
      </c>
      <c r="N115" s="20"/>
      <c r="O115" s="20"/>
      <c r="P115" s="194">
        <v>0</v>
      </c>
      <c r="Q115" s="19" t="s">
        <v>288</v>
      </c>
      <c r="R115" s="19" t="s">
        <v>304</v>
      </c>
      <c r="S115" s="19" t="s">
        <v>305</v>
      </c>
      <c r="T115" s="19" t="s">
        <v>291</v>
      </c>
      <c r="U115" s="19" t="s">
        <v>34</v>
      </c>
      <c r="V115" s="225">
        <v>113.41</v>
      </c>
      <c r="W115" s="19" t="s">
        <v>29</v>
      </c>
      <c r="X115" s="214">
        <f t="shared" si="18"/>
        <v>8.2197410245949138E-3</v>
      </c>
      <c r="Y115" s="7"/>
      <c r="Z115" s="7">
        <v>1</v>
      </c>
      <c r="AA115" s="6">
        <f>IFERROR(VLOOKUP(H115,SEMANAS!$B$1:$D$301,2,0),0)</f>
        <v>17</v>
      </c>
      <c r="AB115" s="6">
        <f>IFERROR(VLOOKUP(I115,SEMANAS!$B$1:$D$301,2,0),0)</f>
        <v>18</v>
      </c>
      <c r="AC115" s="16">
        <f t="shared" si="19"/>
        <v>12614.4</v>
      </c>
      <c r="AD115" s="10"/>
      <c r="AE115" s="10"/>
      <c r="AF115" s="10">
        <f>IFERROR(VLOOKUP(J115,SEMANAS!$B$1:$D$301,2,0),0)</f>
        <v>0</v>
      </c>
      <c r="AG115" s="10">
        <f>IFERROR(VLOOKUP(K115,SEMANAS!$B$1:$D$301,2,0),0)</f>
        <v>0</v>
      </c>
      <c r="AH115" s="11">
        <f t="shared" si="20"/>
        <v>0</v>
      </c>
      <c r="AI115" s="206">
        <f>IF(P115&gt;0,"executado",VLOOKUP(D115,'REPLAN - Agilean'!$A$6:$C$127,2,0))</f>
        <v>44571</v>
      </c>
      <c r="AJ115" s="206">
        <f>IF(P115&gt;0,"executado",VLOOKUP(D115,'REPLAN - Agilean'!$A$6:$C$127,3,0))</f>
        <v>44575</v>
      </c>
      <c r="AK115" s="3">
        <f>IFERROR(VLOOKUP(AI115,SEMANAS!$B$1:$D$301,2,0),0)</f>
        <v>22</v>
      </c>
      <c r="AL115" s="3">
        <f>IFERROR(VLOOKUP(AJ115,SEMANAS!$B$1:$D$301,2,0),0)</f>
        <v>22</v>
      </c>
      <c r="AM115" s="220">
        <f t="shared" ref="AM115:AM116" si="34">IF(AL115&lt;=0,0,L115)</f>
        <v>12614.4</v>
      </c>
      <c r="AN115" s="218">
        <f>IFERROR(VLOOKUP(D115,#REF!,6,0),0)</f>
        <v>0</v>
      </c>
      <c r="AO115" s="218">
        <f>IFERROR(VLOOKUP(D115,#REF!,7,0),0)</f>
        <v>0</v>
      </c>
      <c r="AP115" s="206">
        <f t="shared" ref="AP115:AP116" si="35">IF(AI115="executado","desembolsado",AI115-15)</f>
        <v>44556</v>
      </c>
      <c r="AQ115" s="206">
        <f t="shared" ref="AQ115:AQ116" si="36">IF(AJ115="executado","desembolsado",AI115+15)</f>
        <v>44586</v>
      </c>
    </row>
    <row r="116" spans="1:43" x14ac:dyDescent="0.25">
      <c r="A116" s="20" t="s">
        <v>306</v>
      </c>
      <c r="B116" s="20" t="s">
        <v>293</v>
      </c>
      <c r="C116" s="20" t="s">
        <v>419</v>
      </c>
      <c r="D116" s="20" t="str">
        <f t="shared" si="17"/>
        <v>Pintura Externa PANO3</v>
      </c>
      <c r="E116" s="20" t="s">
        <v>26</v>
      </c>
      <c r="F116" s="20" t="s">
        <v>283</v>
      </c>
      <c r="G116" s="65">
        <v>5</v>
      </c>
      <c r="H116" s="18">
        <v>44616</v>
      </c>
      <c r="I116" s="18">
        <v>44622</v>
      </c>
      <c r="J116" s="17"/>
      <c r="K116" s="17"/>
      <c r="L116" s="196">
        <v>5637.41</v>
      </c>
      <c r="M116" s="21">
        <v>0</v>
      </c>
      <c r="N116" s="20"/>
      <c r="O116" s="20"/>
      <c r="P116" s="194">
        <v>0</v>
      </c>
      <c r="Q116" s="19" t="s">
        <v>288</v>
      </c>
      <c r="R116" s="19" t="s">
        <v>304</v>
      </c>
      <c r="S116" s="19" t="s">
        <v>305</v>
      </c>
      <c r="T116" s="19" t="s">
        <v>294</v>
      </c>
      <c r="U116" s="19" t="s">
        <v>34</v>
      </c>
      <c r="V116" s="225">
        <v>113.41</v>
      </c>
      <c r="W116" s="19" t="s">
        <v>29</v>
      </c>
      <c r="X116" s="214">
        <f t="shared" si="18"/>
        <v>3.6734248358591464E-3</v>
      </c>
      <c r="Y116" s="6"/>
      <c r="Z116" s="6"/>
      <c r="AA116" s="6">
        <f>IFERROR(VLOOKUP(H116,SEMANAS!$B$1:$D$301,2,0),0)</f>
        <v>28</v>
      </c>
      <c r="AB116" s="6">
        <f>IFERROR(VLOOKUP(I116,SEMANAS!$B$1:$D$301,2,0),0)</f>
        <v>29</v>
      </c>
      <c r="AC116" s="16">
        <f t="shared" si="19"/>
        <v>0</v>
      </c>
      <c r="AD116" s="10"/>
      <c r="AE116" s="10"/>
      <c r="AF116" s="10">
        <f>IFERROR(VLOOKUP(J116,SEMANAS!$B$1:$D$301,2,0),0)</f>
        <v>0</v>
      </c>
      <c r="AG116" s="10">
        <f>IFERROR(VLOOKUP(K116,SEMANAS!$B$1:$D$301,2,0),0)</f>
        <v>0</v>
      </c>
      <c r="AH116" s="11">
        <f t="shared" si="20"/>
        <v>0</v>
      </c>
      <c r="AI116" s="206">
        <f>IF(P116&gt;0,"executado",VLOOKUP(D116,'REPLAN - Agilean'!$A$6:$C$127,2,0))</f>
        <v>44616</v>
      </c>
      <c r="AJ116" s="206">
        <f>IF(P116&gt;0,"executado",VLOOKUP(D116,'REPLAN - Agilean'!$A$6:$C$127,3,0))</f>
        <v>44622</v>
      </c>
      <c r="AK116" s="3">
        <f>IFERROR(VLOOKUP(AI116,SEMANAS!$B$1:$D$301,2,0),0)</f>
        <v>28</v>
      </c>
      <c r="AL116" s="3">
        <f>IFERROR(VLOOKUP(AJ116,SEMANAS!$B$1:$D$301,2,0),0)</f>
        <v>29</v>
      </c>
      <c r="AM116" s="220">
        <f t="shared" si="34"/>
        <v>5637.41</v>
      </c>
      <c r="AN116" s="218">
        <f>IFERROR(VLOOKUP(D116,#REF!,6,0),0)</f>
        <v>0</v>
      </c>
      <c r="AO116" s="218">
        <f>IFERROR(VLOOKUP(D116,#REF!,7,0),0)</f>
        <v>0</v>
      </c>
      <c r="AP116" s="206">
        <f t="shared" si="35"/>
        <v>44601</v>
      </c>
      <c r="AQ116" s="206">
        <f t="shared" si="36"/>
        <v>44631</v>
      </c>
    </row>
    <row r="117" spans="1:43" x14ac:dyDescent="0.25">
      <c r="A117" s="20" t="s">
        <v>307</v>
      </c>
      <c r="B117" s="20" t="s">
        <v>308</v>
      </c>
      <c r="C117" s="20"/>
      <c r="D117" s="20" t="str">
        <f t="shared" si="17"/>
        <v>PANO 4</v>
      </c>
      <c r="E117" s="20"/>
      <c r="F117" s="20"/>
      <c r="G117" s="65">
        <v>59</v>
      </c>
      <c r="H117" s="18">
        <v>44547</v>
      </c>
      <c r="I117" s="18">
        <v>44629</v>
      </c>
      <c r="J117" s="17"/>
      <c r="K117" s="17"/>
      <c r="L117" s="196"/>
      <c r="M117" s="21">
        <v>0</v>
      </c>
      <c r="N117" s="20"/>
      <c r="O117" s="20"/>
      <c r="P117" s="194">
        <v>0</v>
      </c>
      <c r="Q117" s="19"/>
      <c r="R117" s="19"/>
      <c r="S117" s="19" t="s">
        <v>51</v>
      </c>
      <c r="T117" s="19">
        <v>0</v>
      </c>
      <c r="U117" s="19">
        <v>0</v>
      </c>
      <c r="V117" s="225"/>
      <c r="W117" s="19"/>
      <c r="X117" s="214">
        <f t="shared" si="18"/>
        <v>0</v>
      </c>
      <c r="Y117" s="6"/>
      <c r="Z117" s="6"/>
      <c r="AA117" s="6">
        <f>IFERROR(VLOOKUP(H117,SEMANAS!$B$1:$D$301,2,0),0)</f>
        <v>18</v>
      </c>
      <c r="AB117" s="6">
        <f>IFERROR(VLOOKUP(I117,SEMANAS!$B$1:$D$301,2,0),0)</f>
        <v>30</v>
      </c>
      <c r="AC117" s="16">
        <f t="shared" si="19"/>
        <v>0</v>
      </c>
      <c r="AD117" s="10"/>
      <c r="AE117" s="10"/>
      <c r="AF117" s="10">
        <f>IFERROR(VLOOKUP(J117,SEMANAS!$B$1:$D$301,2,0),0)</f>
        <v>0</v>
      </c>
      <c r="AG117" s="10">
        <f>IFERROR(VLOOKUP(K117,SEMANAS!$B$1:$D$301,2,0),0)</f>
        <v>0</v>
      </c>
      <c r="AH117" s="11">
        <f t="shared" si="20"/>
        <v>0</v>
      </c>
      <c r="AI117" s="206">
        <f>IF(P117&gt;0,"executado",VLOOKUP(D117,'REPLAN - Agilean'!$A$6:$C$127,2,0))</f>
        <v>44571</v>
      </c>
      <c r="AJ117" s="206">
        <f>IF(P117&gt;0,"executado",VLOOKUP(D117,'REPLAN - Agilean'!$A$6:$C$127,3,0))</f>
        <v>44629</v>
      </c>
      <c r="AK117" s="3">
        <f>IFERROR(VLOOKUP(AI117,SEMANAS!$B$1:$D$301,2,0),0)</f>
        <v>22</v>
      </c>
      <c r="AL117" s="3">
        <f>IFERROR(VLOOKUP(AJ117,SEMANAS!$B$1:$D$301,2,0),0)</f>
        <v>30</v>
      </c>
      <c r="AM117" s="3">
        <f t="shared" si="21"/>
        <v>0</v>
      </c>
      <c r="AN117" s="3">
        <f>IFERROR(VLOOKUP(D117,#REF!,6,0),0)</f>
        <v>0</v>
      </c>
      <c r="AO117" s="3"/>
      <c r="AP117" s="3"/>
      <c r="AQ117" s="3"/>
    </row>
    <row r="118" spans="1:43" x14ac:dyDescent="0.25">
      <c r="A118" s="20" t="s">
        <v>309</v>
      </c>
      <c r="B118" s="20" t="s">
        <v>287</v>
      </c>
      <c r="C118" s="20" t="s">
        <v>418</v>
      </c>
      <c r="D118" s="20" t="str">
        <f t="shared" si="17"/>
        <v>Reboco ExternoPANO4</v>
      </c>
      <c r="E118" s="20" t="s">
        <v>26</v>
      </c>
      <c r="F118" s="20" t="s">
        <v>283</v>
      </c>
      <c r="G118" s="65">
        <v>5</v>
      </c>
      <c r="H118" s="18">
        <v>44547</v>
      </c>
      <c r="I118" s="18">
        <v>44553</v>
      </c>
      <c r="J118" s="17"/>
      <c r="K118" s="17"/>
      <c r="L118" s="196">
        <v>13885.55</v>
      </c>
      <c r="M118" s="21">
        <v>0</v>
      </c>
      <c r="N118" s="20"/>
      <c r="O118" s="20"/>
      <c r="P118" s="194">
        <v>0</v>
      </c>
      <c r="Q118" s="19" t="s">
        <v>288</v>
      </c>
      <c r="R118" s="19" t="s">
        <v>310</v>
      </c>
      <c r="S118" s="19" t="s">
        <v>311</v>
      </c>
      <c r="T118" s="19" t="s">
        <v>291</v>
      </c>
      <c r="U118" s="19" t="s">
        <v>34</v>
      </c>
      <c r="V118" s="225">
        <v>124.84</v>
      </c>
      <c r="W118" s="19" t="s">
        <v>29</v>
      </c>
      <c r="X118" s="214">
        <f t="shared" si="18"/>
        <v>9.048042315454077E-3</v>
      </c>
      <c r="Y118" s="7"/>
      <c r="Z118" s="7">
        <v>1</v>
      </c>
      <c r="AA118" s="6">
        <f>IFERROR(VLOOKUP(H118,SEMANAS!$B$1:$D$301,2,0),0)</f>
        <v>18</v>
      </c>
      <c r="AB118" s="6">
        <f>IFERROR(VLOOKUP(I118,SEMANAS!$B$1:$D$301,2,0),0)</f>
        <v>19</v>
      </c>
      <c r="AC118" s="16">
        <f t="shared" si="19"/>
        <v>13885.55</v>
      </c>
      <c r="AD118" s="10"/>
      <c r="AE118" s="10"/>
      <c r="AF118" s="10">
        <f>IFERROR(VLOOKUP(J118,SEMANAS!$B$1:$D$301,2,0),0)</f>
        <v>0</v>
      </c>
      <c r="AG118" s="10">
        <f>IFERROR(VLOOKUP(K118,SEMANAS!$B$1:$D$301,2,0),0)</f>
        <v>0</v>
      </c>
      <c r="AH118" s="11">
        <f t="shared" si="20"/>
        <v>0</v>
      </c>
      <c r="AI118" s="206">
        <f>IF(P118&gt;0,"executado",VLOOKUP(D118,'REPLAN - Agilean'!$A$6:$C$127,2,0))</f>
        <v>44571</v>
      </c>
      <c r="AJ118" s="206">
        <f>IF(P118&gt;0,"executado",VLOOKUP(D118,'REPLAN - Agilean'!$A$6:$C$127,3,0))</f>
        <v>44575</v>
      </c>
      <c r="AK118" s="3">
        <f>IFERROR(VLOOKUP(AI118,SEMANAS!$B$1:$D$301,2,0),0)</f>
        <v>22</v>
      </c>
      <c r="AL118" s="3">
        <f>IFERROR(VLOOKUP(AJ118,SEMANAS!$B$1:$D$301,2,0),0)</f>
        <v>22</v>
      </c>
      <c r="AM118" s="220">
        <f t="shared" ref="AM118:AM119" si="37">IF(AL118&lt;=0,0,L118)</f>
        <v>13885.55</v>
      </c>
      <c r="AN118" s="218">
        <f>IFERROR(VLOOKUP(D118,#REF!,6,0),0)</f>
        <v>0</v>
      </c>
      <c r="AO118" s="218">
        <f>IFERROR(VLOOKUP(D118,#REF!,7,0),0)</f>
        <v>0</v>
      </c>
      <c r="AP118" s="206">
        <f t="shared" ref="AP118:AP119" si="38">IF(AI118="executado","desembolsado",AI118-15)</f>
        <v>44556</v>
      </c>
      <c r="AQ118" s="206">
        <f t="shared" ref="AQ118:AQ119" si="39">IF(AJ118="executado","desembolsado",AI118+15)</f>
        <v>44586</v>
      </c>
    </row>
    <row r="119" spans="1:43" x14ac:dyDescent="0.25">
      <c r="A119" s="20" t="s">
        <v>312</v>
      </c>
      <c r="B119" s="20" t="s">
        <v>293</v>
      </c>
      <c r="C119" s="20" t="s">
        <v>419</v>
      </c>
      <c r="D119" s="20" t="str">
        <f t="shared" si="17"/>
        <v>Pintura Externa PANO4</v>
      </c>
      <c r="E119" s="20" t="s">
        <v>26</v>
      </c>
      <c r="F119" s="20" t="s">
        <v>283</v>
      </c>
      <c r="G119" s="65">
        <v>5</v>
      </c>
      <c r="H119" s="18">
        <v>44623</v>
      </c>
      <c r="I119" s="18">
        <v>44629</v>
      </c>
      <c r="J119" s="17"/>
      <c r="K119" s="17"/>
      <c r="L119" s="196">
        <v>6205.49</v>
      </c>
      <c r="M119" s="21">
        <v>0</v>
      </c>
      <c r="N119" s="20"/>
      <c r="O119" s="20"/>
      <c r="P119" s="194">
        <v>0</v>
      </c>
      <c r="Q119" s="19" t="s">
        <v>288</v>
      </c>
      <c r="R119" s="19" t="s">
        <v>310</v>
      </c>
      <c r="S119" s="19" t="s">
        <v>311</v>
      </c>
      <c r="T119" s="19" t="s">
        <v>294</v>
      </c>
      <c r="U119" s="19" t="s">
        <v>34</v>
      </c>
      <c r="V119" s="225">
        <v>124.84</v>
      </c>
      <c r="W119" s="19" t="s">
        <v>29</v>
      </c>
      <c r="X119" s="214">
        <f t="shared" si="18"/>
        <v>4.0435946799462115E-3</v>
      </c>
      <c r="Y119" s="6"/>
      <c r="Z119" s="6"/>
      <c r="AA119" s="6">
        <f>IFERROR(VLOOKUP(H119,SEMANAS!$B$1:$D$301,2,0),0)</f>
        <v>29</v>
      </c>
      <c r="AB119" s="6">
        <f>IFERROR(VLOOKUP(I119,SEMANAS!$B$1:$D$301,2,0),0)</f>
        <v>30</v>
      </c>
      <c r="AC119" s="16">
        <f t="shared" si="19"/>
        <v>0</v>
      </c>
      <c r="AD119" s="10"/>
      <c r="AE119" s="10"/>
      <c r="AF119" s="10">
        <f>IFERROR(VLOOKUP(J119,SEMANAS!$B$1:$D$301,2,0),0)</f>
        <v>0</v>
      </c>
      <c r="AG119" s="10">
        <f>IFERROR(VLOOKUP(K119,SEMANAS!$B$1:$D$301,2,0),0)</f>
        <v>0</v>
      </c>
      <c r="AH119" s="11">
        <f t="shared" si="20"/>
        <v>0</v>
      </c>
      <c r="AI119" s="206">
        <f>IF(P119&gt;0,"executado",VLOOKUP(D119,'REPLAN - Agilean'!$A$6:$C$127,2,0))</f>
        <v>44623</v>
      </c>
      <c r="AJ119" s="206">
        <f>IF(P119&gt;0,"executado",VLOOKUP(D119,'REPLAN - Agilean'!$A$6:$C$127,3,0))</f>
        <v>44629</v>
      </c>
      <c r="AK119" s="3">
        <f>IFERROR(VLOOKUP(AI119,SEMANAS!$B$1:$D$301,2,0),0)</f>
        <v>29</v>
      </c>
      <c r="AL119" s="3">
        <f>IFERROR(VLOOKUP(AJ119,SEMANAS!$B$1:$D$301,2,0),0)</f>
        <v>30</v>
      </c>
      <c r="AM119" s="220">
        <f t="shared" si="37"/>
        <v>6205.49</v>
      </c>
      <c r="AN119" s="218">
        <f>IFERROR(VLOOKUP(D119,#REF!,6,0),0)</f>
        <v>0</v>
      </c>
      <c r="AO119" s="218">
        <f>IFERROR(VLOOKUP(D119,#REF!,7,0),0)</f>
        <v>0</v>
      </c>
      <c r="AP119" s="206">
        <f t="shared" si="38"/>
        <v>44608</v>
      </c>
      <c r="AQ119" s="206">
        <f t="shared" si="39"/>
        <v>44638</v>
      </c>
    </row>
    <row r="120" spans="1:43" x14ac:dyDescent="0.25">
      <c r="A120" s="20" t="s">
        <v>313</v>
      </c>
      <c r="B120" s="20" t="s">
        <v>314</v>
      </c>
      <c r="C120" s="20"/>
      <c r="D120" s="20" t="str">
        <f t="shared" si="17"/>
        <v>PANO 5</v>
      </c>
      <c r="E120" s="20"/>
      <c r="F120" s="20"/>
      <c r="G120" s="65">
        <v>59</v>
      </c>
      <c r="H120" s="18">
        <v>44554</v>
      </c>
      <c r="I120" s="18">
        <v>44636</v>
      </c>
      <c r="J120" s="17"/>
      <c r="K120" s="17"/>
      <c r="L120" s="196"/>
      <c r="M120" s="21">
        <v>0</v>
      </c>
      <c r="N120" s="20"/>
      <c r="O120" s="20"/>
      <c r="P120" s="194">
        <v>0</v>
      </c>
      <c r="Q120" s="19"/>
      <c r="R120" s="19"/>
      <c r="S120" s="19" t="s">
        <v>51</v>
      </c>
      <c r="T120" s="19">
        <v>0</v>
      </c>
      <c r="U120" s="19">
        <v>0</v>
      </c>
      <c r="V120" s="225"/>
      <c r="W120" s="19"/>
      <c r="X120" s="214">
        <f t="shared" si="18"/>
        <v>0</v>
      </c>
      <c r="Y120" s="6"/>
      <c r="Z120" s="6"/>
      <c r="AA120" s="6">
        <f>IFERROR(VLOOKUP(H120,SEMANAS!$B$1:$D$301,2,0),0)</f>
        <v>19</v>
      </c>
      <c r="AB120" s="6">
        <f>IFERROR(VLOOKUP(I120,SEMANAS!$B$1:$D$301,2,0),0)</f>
        <v>31</v>
      </c>
      <c r="AC120" s="16">
        <f t="shared" si="19"/>
        <v>0</v>
      </c>
      <c r="AD120" s="10"/>
      <c r="AE120" s="10"/>
      <c r="AF120" s="10">
        <f>IFERROR(VLOOKUP(J120,SEMANAS!$B$1:$D$301,2,0),0)</f>
        <v>0</v>
      </c>
      <c r="AG120" s="10">
        <f>IFERROR(VLOOKUP(K120,SEMANAS!$B$1:$D$301,2,0),0)</f>
        <v>0</v>
      </c>
      <c r="AH120" s="11">
        <f t="shared" si="20"/>
        <v>0</v>
      </c>
      <c r="AI120" s="206">
        <f>IF(P120&gt;0,"executado",VLOOKUP(D120,'REPLAN - Agilean'!$A$6:$C$127,2,0))</f>
        <v>44578</v>
      </c>
      <c r="AJ120" s="206">
        <f>IF(P120&gt;0,"executado",VLOOKUP(D120,'REPLAN - Agilean'!$A$6:$C$127,3,0))</f>
        <v>44636</v>
      </c>
      <c r="AK120" s="3">
        <f>IFERROR(VLOOKUP(AI120,SEMANAS!$B$1:$D$301,2,0),0)</f>
        <v>23</v>
      </c>
      <c r="AL120" s="3">
        <f>IFERROR(VLOOKUP(AJ120,SEMANAS!$B$1:$D$301,2,0),0)</f>
        <v>31</v>
      </c>
      <c r="AM120" s="3">
        <f t="shared" si="21"/>
        <v>0</v>
      </c>
      <c r="AN120" s="3">
        <f>IFERROR(VLOOKUP(D120,#REF!,6,0),0)</f>
        <v>0</v>
      </c>
      <c r="AO120" s="3"/>
      <c r="AP120" s="3"/>
      <c r="AQ120" s="3"/>
    </row>
    <row r="121" spans="1:43" x14ac:dyDescent="0.25">
      <c r="A121" s="20" t="s">
        <v>315</v>
      </c>
      <c r="B121" s="20" t="s">
        <v>287</v>
      </c>
      <c r="C121" s="20" t="s">
        <v>418</v>
      </c>
      <c r="D121" s="20" t="str">
        <f t="shared" si="17"/>
        <v>Reboco ExternoPANO5</v>
      </c>
      <c r="E121" s="20" t="s">
        <v>26</v>
      </c>
      <c r="F121" s="20" t="s">
        <v>283</v>
      </c>
      <c r="G121" s="65">
        <v>5</v>
      </c>
      <c r="H121" s="18">
        <v>44554</v>
      </c>
      <c r="I121" s="18">
        <v>44560</v>
      </c>
      <c r="J121" s="17"/>
      <c r="K121" s="17"/>
      <c r="L121" s="196">
        <v>15397.94</v>
      </c>
      <c r="M121" s="21">
        <v>0</v>
      </c>
      <c r="N121" s="20"/>
      <c r="O121" s="20"/>
      <c r="P121" s="194">
        <v>0</v>
      </c>
      <c r="Q121" s="19" t="s">
        <v>288</v>
      </c>
      <c r="R121" s="19" t="s">
        <v>316</v>
      </c>
      <c r="S121" s="19" t="s">
        <v>317</v>
      </c>
      <c r="T121" s="19" t="s">
        <v>291</v>
      </c>
      <c r="U121" s="19" t="s">
        <v>34</v>
      </c>
      <c r="V121" s="225">
        <v>138.44</v>
      </c>
      <c r="W121" s="19" t="s">
        <v>29</v>
      </c>
      <c r="X121" s="214">
        <f t="shared" si="18"/>
        <v>1.0033539376605389E-2</v>
      </c>
      <c r="Y121" s="7"/>
      <c r="Z121" s="7">
        <v>1</v>
      </c>
      <c r="AA121" s="6">
        <f>IFERROR(VLOOKUP(H121,SEMANAS!$B$1:$D$301,2,0),0)</f>
        <v>19</v>
      </c>
      <c r="AB121" s="6">
        <f>IFERROR(VLOOKUP(I121,SEMANAS!$B$1:$D$301,2,0),0)</f>
        <v>20</v>
      </c>
      <c r="AC121" s="16">
        <f t="shared" si="19"/>
        <v>15397.94</v>
      </c>
      <c r="AD121" s="10"/>
      <c r="AE121" s="10"/>
      <c r="AF121" s="10">
        <f>IFERROR(VLOOKUP(J121,SEMANAS!$B$1:$D$301,2,0),0)</f>
        <v>0</v>
      </c>
      <c r="AG121" s="10">
        <f>IFERROR(VLOOKUP(K121,SEMANAS!$B$1:$D$301,2,0),0)</f>
        <v>0</v>
      </c>
      <c r="AH121" s="11">
        <f t="shared" si="20"/>
        <v>0</v>
      </c>
      <c r="AI121" s="206">
        <f>IF(P121&gt;0,"executado",VLOOKUP(D121,'REPLAN - Agilean'!$A$6:$C$127,2,0))</f>
        <v>44578</v>
      </c>
      <c r="AJ121" s="206">
        <f>IF(P121&gt;0,"executado",VLOOKUP(D121,'REPLAN - Agilean'!$A$6:$C$127,3,0))</f>
        <v>44582</v>
      </c>
      <c r="AK121" s="3">
        <f>IFERROR(VLOOKUP(AI121,SEMANAS!$B$1:$D$301,2,0),0)</f>
        <v>23</v>
      </c>
      <c r="AL121" s="3">
        <f>IFERROR(VLOOKUP(AJ121,SEMANAS!$B$1:$D$301,2,0),0)</f>
        <v>23</v>
      </c>
      <c r="AM121" s="220">
        <f t="shared" ref="AM121:AM122" si="40">IF(AL121&lt;=0,0,L121)</f>
        <v>15397.94</v>
      </c>
      <c r="AN121" s="218">
        <f>IFERROR(VLOOKUP(D121,#REF!,6,0),0)</f>
        <v>0</v>
      </c>
      <c r="AO121" s="218">
        <f>IFERROR(VLOOKUP(D121,#REF!,7,0),0)</f>
        <v>0</v>
      </c>
      <c r="AP121" s="206">
        <f t="shared" ref="AP121:AP122" si="41">IF(AI121="executado","desembolsado",AI121-15)</f>
        <v>44563</v>
      </c>
      <c r="AQ121" s="206">
        <f t="shared" ref="AQ121:AQ122" si="42">IF(AJ121="executado","desembolsado",AI121+15)</f>
        <v>44593</v>
      </c>
    </row>
    <row r="122" spans="1:43" x14ac:dyDescent="0.25">
      <c r="A122" s="20" t="s">
        <v>318</v>
      </c>
      <c r="B122" s="20" t="s">
        <v>293</v>
      </c>
      <c r="C122" s="20" t="s">
        <v>419</v>
      </c>
      <c r="D122" s="20" t="str">
        <f t="shared" si="17"/>
        <v>Pintura Externa PANO5</v>
      </c>
      <c r="E122" s="20" t="s">
        <v>26</v>
      </c>
      <c r="F122" s="20" t="s">
        <v>283</v>
      </c>
      <c r="G122" s="65">
        <v>5</v>
      </c>
      <c r="H122" s="18">
        <v>44630</v>
      </c>
      <c r="I122" s="18">
        <v>44636</v>
      </c>
      <c r="J122" s="17"/>
      <c r="K122" s="17"/>
      <c r="L122" s="196">
        <v>6881.38</v>
      </c>
      <c r="M122" s="21">
        <v>0</v>
      </c>
      <c r="N122" s="20"/>
      <c r="O122" s="20"/>
      <c r="P122" s="194">
        <v>0</v>
      </c>
      <c r="Q122" s="19" t="s">
        <v>288</v>
      </c>
      <c r="R122" s="19" t="s">
        <v>316</v>
      </c>
      <c r="S122" s="19" t="s">
        <v>317</v>
      </c>
      <c r="T122" s="19" t="s">
        <v>294</v>
      </c>
      <c r="U122" s="19" t="s">
        <v>34</v>
      </c>
      <c r="V122" s="225">
        <v>138.44</v>
      </c>
      <c r="W122" s="19" t="s">
        <v>29</v>
      </c>
      <c r="X122" s="214">
        <f t="shared" si="18"/>
        <v>4.48401521212479E-3</v>
      </c>
      <c r="Y122" s="6"/>
      <c r="Z122" s="6"/>
      <c r="AA122" s="6">
        <f>IFERROR(VLOOKUP(H122,SEMANAS!$B$1:$D$301,2,0),0)</f>
        <v>30</v>
      </c>
      <c r="AB122" s="6">
        <f>IFERROR(VLOOKUP(I122,SEMANAS!$B$1:$D$301,2,0),0)</f>
        <v>31</v>
      </c>
      <c r="AC122" s="16">
        <f t="shared" si="19"/>
        <v>0</v>
      </c>
      <c r="AD122" s="10"/>
      <c r="AE122" s="10"/>
      <c r="AF122" s="10">
        <f>IFERROR(VLOOKUP(J122,SEMANAS!$B$1:$D$301,2,0),0)</f>
        <v>0</v>
      </c>
      <c r="AG122" s="10">
        <f>IFERROR(VLOOKUP(K122,SEMANAS!$B$1:$D$301,2,0),0)</f>
        <v>0</v>
      </c>
      <c r="AH122" s="11">
        <f t="shared" si="20"/>
        <v>0</v>
      </c>
      <c r="AI122" s="206">
        <f>IF(P122&gt;0,"executado",VLOOKUP(D122,'REPLAN - Agilean'!$A$6:$C$127,2,0))</f>
        <v>44630</v>
      </c>
      <c r="AJ122" s="206">
        <f>IF(P122&gt;0,"executado",VLOOKUP(D122,'REPLAN - Agilean'!$A$6:$C$127,3,0))</f>
        <v>44636</v>
      </c>
      <c r="AK122" s="3">
        <f>IFERROR(VLOOKUP(AI122,SEMANAS!$B$1:$D$301,2,0),0)</f>
        <v>30</v>
      </c>
      <c r="AL122" s="3">
        <f>IFERROR(VLOOKUP(AJ122,SEMANAS!$B$1:$D$301,2,0),0)</f>
        <v>31</v>
      </c>
      <c r="AM122" s="220">
        <f t="shared" si="40"/>
        <v>6881.38</v>
      </c>
      <c r="AN122" s="218">
        <f>IFERROR(VLOOKUP(D122,#REF!,6,0),0)</f>
        <v>0</v>
      </c>
      <c r="AO122" s="218">
        <f>IFERROR(VLOOKUP(D122,#REF!,7,0),0)</f>
        <v>0</v>
      </c>
      <c r="AP122" s="206">
        <f t="shared" si="41"/>
        <v>44615</v>
      </c>
      <c r="AQ122" s="206">
        <f t="shared" si="42"/>
        <v>44645</v>
      </c>
    </row>
    <row r="123" spans="1:43" x14ac:dyDescent="0.25">
      <c r="A123" s="20" t="s">
        <v>319</v>
      </c>
      <c r="B123" s="20" t="s">
        <v>320</v>
      </c>
      <c r="C123" s="20"/>
      <c r="D123" s="20" t="str">
        <f t="shared" si="17"/>
        <v>PANO 6</v>
      </c>
      <c r="E123" s="20"/>
      <c r="F123" s="20"/>
      <c r="G123" s="65">
        <v>59</v>
      </c>
      <c r="H123" s="18">
        <v>44561</v>
      </c>
      <c r="I123" s="18">
        <v>44643</v>
      </c>
      <c r="J123" s="17"/>
      <c r="K123" s="17"/>
      <c r="L123" s="196"/>
      <c r="M123" s="21">
        <v>0</v>
      </c>
      <c r="N123" s="20"/>
      <c r="O123" s="20"/>
      <c r="P123" s="194">
        <v>0</v>
      </c>
      <c r="Q123" s="19"/>
      <c r="R123" s="19"/>
      <c r="S123" s="19" t="s">
        <v>51</v>
      </c>
      <c r="T123" s="19">
        <v>0</v>
      </c>
      <c r="U123" s="19">
        <v>0</v>
      </c>
      <c r="V123" s="225"/>
      <c r="W123" s="19"/>
      <c r="X123" s="214">
        <f t="shared" si="18"/>
        <v>0</v>
      </c>
      <c r="Y123" s="6"/>
      <c r="Z123" s="6"/>
      <c r="AA123" s="6">
        <f>IFERROR(VLOOKUP(H123,SEMANAS!$B$1:$D$301,2,0),0)</f>
        <v>20</v>
      </c>
      <c r="AB123" s="6">
        <f>IFERROR(VLOOKUP(I123,SEMANAS!$B$1:$D$301,2,0),0)</f>
        <v>32</v>
      </c>
      <c r="AC123" s="16">
        <f t="shared" si="19"/>
        <v>0</v>
      </c>
      <c r="AD123" s="10"/>
      <c r="AE123" s="10"/>
      <c r="AF123" s="10">
        <f>IFERROR(VLOOKUP(J123,SEMANAS!$B$1:$D$301,2,0),0)</f>
        <v>0</v>
      </c>
      <c r="AG123" s="10">
        <f>IFERROR(VLOOKUP(K123,SEMANAS!$B$1:$D$301,2,0),0)</f>
        <v>0</v>
      </c>
      <c r="AH123" s="11">
        <f t="shared" si="20"/>
        <v>0</v>
      </c>
      <c r="AI123" s="206">
        <f>IF(P123&gt;0,"executado",VLOOKUP(D123,'REPLAN - Agilean'!$A$6:$C$127,2,0))</f>
        <v>44578</v>
      </c>
      <c r="AJ123" s="206">
        <f>IF(P123&gt;0,"executado",VLOOKUP(D123,'REPLAN - Agilean'!$A$6:$C$127,3,0))</f>
        <v>44643</v>
      </c>
      <c r="AK123" s="3">
        <f>IFERROR(VLOOKUP(AI123,SEMANAS!$B$1:$D$301,2,0),0)</f>
        <v>23</v>
      </c>
      <c r="AL123" s="3">
        <f>IFERROR(VLOOKUP(AJ123,SEMANAS!$B$1:$D$301,2,0),0)</f>
        <v>32</v>
      </c>
      <c r="AM123" s="3">
        <f t="shared" si="21"/>
        <v>0</v>
      </c>
      <c r="AN123" s="3">
        <f>IFERROR(VLOOKUP(D123,#REF!,6,0),0)</f>
        <v>0</v>
      </c>
      <c r="AO123" s="3"/>
      <c r="AP123" s="3"/>
      <c r="AQ123" s="3"/>
    </row>
    <row r="124" spans="1:43" x14ac:dyDescent="0.25">
      <c r="A124" s="20" t="s">
        <v>321</v>
      </c>
      <c r="B124" s="20" t="s">
        <v>287</v>
      </c>
      <c r="C124" s="20" t="s">
        <v>418</v>
      </c>
      <c r="D124" s="20" t="str">
        <f t="shared" si="17"/>
        <v>Reboco ExternoPANO6</v>
      </c>
      <c r="E124" s="20" t="s">
        <v>26</v>
      </c>
      <c r="F124" s="20" t="s">
        <v>283</v>
      </c>
      <c r="G124" s="65">
        <v>5</v>
      </c>
      <c r="H124" s="18">
        <v>44561</v>
      </c>
      <c r="I124" s="18">
        <v>44567</v>
      </c>
      <c r="J124" s="17"/>
      <c r="K124" s="17"/>
      <c r="L124" s="196">
        <v>11105.57</v>
      </c>
      <c r="M124" s="21">
        <v>0</v>
      </c>
      <c r="N124" s="20"/>
      <c r="O124" s="20"/>
      <c r="P124" s="194">
        <v>0</v>
      </c>
      <c r="Q124" s="19" t="s">
        <v>288</v>
      </c>
      <c r="R124" s="19" t="s">
        <v>322</v>
      </c>
      <c r="S124" s="19" t="s">
        <v>323</v>
      </c>
      <c r="T124" s="19" t="s">
        <v>291</v>
      </c>
      <c r="U124" s="19" t="s">
        <v>34</v>
      </c>
      <c r="V124" s="225">
        <v>99.85</v>
      </c>
      <c r="W124" s="19" t="s">
        <v>29</v>
      </c>
      <c r="X124" s="214">
        <f t="shared" si="18"/>
        <v>7.2365637153182505E-3</v>
      </c>
      <c r="Y124" s="7"/>
      <c r="Z124" s="7">
        <v>0.2</v>
      </c>
      <c r="AA124" s="6">
        <f>IFERROR(VLOOKUP(H124,SEMANAS!$B$1:$D$301,2,0),0)</f>
        <v>20</v>
      </c>
      <c r="AB124" s="6">
        <f>IFERROR(VLOOKUP(I124,SEMANAS!$B$1:$D$301,2,0),0)</f>
        <v>21</v>
      </c>
      <c r="AC124" s="16">
        <f t="shared" si="19"/>
        <v>2221.114</v>
      </c>
      <c r="AD124" s="10"/>
      <c r="AE124" s="10"/>
      <c r="AF124" s="10">
        <f>IFERROR(VLOOKUP(J124,SEMANAS!$B$1:$D$301,2,0),0)</f>
        <v>0</v>
      </c>
      <c r="AG124" s="10">
        <f>IFERROR(VLOOKUP(K124,SEMANAS!$B$1:$D$301,2,0),0)</f>
        <v>0</v>
      </c>
      <c r="AH124" s="11">
        <f t="shared" si="20"/>
        <v>0</v>
      </c>
      <c r="AI124" s="206">
        <f>IF(P124&gt;0,"executado",VLOOKUP(D124,'REPLAN - Agilean'!$A$6:$C$127,2,0))</f>
        <v>44578</v>
      </c>
      <c r="AJ124" s="206">
        <f>IF(P124&gt;0,"executado",VLOOKUP(D124,'REPLAN - Agilean'!$A$6:$C$127,3,0))</f>
        <v>44582</v>
      </c>
      <c r="AK124" s="3">
        <f>IFERROR(VLOOKUP(AI124,SEMANAS!$B$1:$D$301,2,0),0)</f>
        <v>23</v>
      </c>
      <c r="AL124" s="3">
        <f>IFERROR(VLOOKUP(AJ124,SEMANAS!$B$1:$D$301,2,0),0)</f>
        <v>23</v>
      </c>
      <c r="AM124" s="220">
        <f t="shared" ref="AM124:AM125" si="43">IF(AL124&lt;=0,0,L124)</f>
        <v>11105.57</v>
      </c>
      <c r="AN124" s="218">
        <f>IFERROR(VLOOKUP(D124,#REF!,6,0),0)</f>
        <v>0</v>
      </c>
      <c r="AO124" s="218">
        <f>IFERROR(VLOOKUP(D124,#REF!,7,0),0)</f>
        <v>0</v>
      </c>
      <c r="AP124" s="206">
        <f t="shared" ref="AP124:AP125" si="44">IF(AI124="executado","desembolsado",AI124-15)</f>
        <v>44563</v>
      </c>
      <c r="AQ124" s="206">
        <f t="shared" ref="AQ124:AQ125" si="45">IF(AJ124="executado","desembolsado",AI124+15)</f>
        <v>44593</v>
      </c>
    </row>
    <row r="125" spans="1:43" x14ac:dyDescent="0.25">
      <c r="A125" s="20" t="s">
        <v>324</v>
      </c>
      <c r="B125" s="20" t="s">
        <v>293</v>
      </c>
      <c r="C125" s="20" t="s">
        <v>419</v>
      </c>
      <c r="D125" s="20" t="str">
        <f t="shared" si="17"/>
        <v>Pintura Externa PANO6</v>
      </c>
      <c r="E125" s="20" t="s">
        <v>26</v>
      </c>
      <c r="F125" s="20" t="s">
        <v>283</v>
      </c>
      <c r="G125" s="65">
        <v>5</v>
      </c>
      <c r="H125" s="18">
        <v>44637</v>
      </c>
      <c r="I125" s="18">
        <v>44643</v>
      </c>
      <c r="J125" s="17"/>
      <c r="K125" s="17"/>
      <c r="L125" s="196">
        <v>4963.1099999999997</v>
      </c>
      <c r="M125" s="21">
        <v>0</v>
      </c>
      <c r="N125" s="20"/>
      <c r="O125" s="20"/>
      <c r="P125" s="194">
        <v>0</v>
      </c>
      <c r="Q125" s="19" t="s">
        <v>288</v>
      </c>
      <c r="R125" s="19" t="s">
        <v>322</v>
      </c>
      <c r="S125" s="19" t="s">
        <v>323</v>
      </c>
      <c r="T125" s="19" t="s">
        <v>294</v>
      </c>
      <c r="U125" s="19" t="s">
        <v>34</v>
      </c>
      <c r="V125" s="225">
        <v>99.85</v>
      </c>
      <c r="W125" s="19" t="s">
        <v>29</v>
      </c>
      <c r="X125" s="214">
        <f t="shared" si="18"/>
        <v>3.2340403726358181E-3</v>
      </c>
      <c r="Y125" s="6"/>
      <c r="Z125" s="6"/>
      <c r="AA125" s="6">
        <f>IFERROR(VLOOKUP(H125,SEMANAS!$B$1:$D$301,2,0),0)</f>
        <v>31</v>
      </c>
      <c r="AB125" s="6">
        <f>IFERROR(VLOOKUP(I125,SEMANAS!$B$1:$D$301,2,0),0)</f>
        <v>32</v>
      </c>
      <c r="AC125" s="16">
        <f t="shared" si="19"/>
        <v>0</v>
      </c>
      <c r="AD125" s="10"/>
      <c r="AE125" s="10"/>
      <c r="AF125" s="10">
        <f>IFERROR(VLOOKUP(J125,SEMANAS!$B$1:$D$301,2,0),0)</f>
        <v>0</v>
      </c>
      <c r="AG125" s="10">
        <f>IFERROR(VLOOKUP(K125,SEMANAS!$B$1:$D$301,2,0),0)</f>
        <v>0</v>
      </c>
      <c r="AH125" s="11">
        <f t="shared" si="20"/>
        <v>0</v>
      </c>
      <c r="AI125" s="206">
        <f>IF(P125&gt;0,"executado",VLOOKUP(D125,'REPLAN - Agilean'!$A$6:$C$127,2,0))</f>
        <v>44637</v>
      </c>
      <c r="AJ125" s="206">
        <f>IF(P125&gt;0,"executado",VLOOKUP(D125,'REPLAN - Agilean'!$A$6:$C$127,3,0))</f>
        <v>44643</v>
      </c>
      <c r="AK125" s="3">
        <f>IFERROR(VLOOKUP(AI125,SEMANAS!$B$1:$D$301,2,0),0)</f>
        <v>31</v>
      </c>
      <c r="AL125" s="3">
        <f>IFERROR(VLOOKUP(AJ125,SEMANAS!$B$1:$D$301,2,0),0)</f>
        <v>32</v>
      </c>
      <c r="AM125" s="220">
        <f t="shared" si="43"/>
        <v>4963.1099999999997</v>
      </c>
      <c r="AN125" s="218">
        <f>IFERROR(VLOOKUP(D125,#REF!,6,0),0)</f>
        <v>0</v>
      </c>
      <c r="AO125" s="218">
        <f>IFERROR(VLOOKUP(D125,#REF!,7,0),0)</f>
        <v>0</v>
      </c>
      <c r="AP125" s="206">
        <f t="shared" si="44"/>
        <v>44622</v>
      </c>
      <c r="AQ125" s="206">
        <f t="shared" si="45"/>
        <v>44652</v>
      </c>
    </row>
    <row r="126" spans="1:43" x14ac:dyDescent="0.25">
      <c r="H126" s="14"/>
      <c r="I126" s="14"/>
      <c r="L126" s="189">
        <f>SUM(L2:L125)</f>
        <v>1534646.8900000001</v>
      </c>
      <c r="AM126" s="2"/>
      <c r="AP126" s="2"/>
    </row>
  </sheetData>
  <autoFilter ref="A1:AS1" xr:uid="{BE9310CA-6B46-4754-9978-B1D39FF62F34}"/>
  <customSheetViews>
    <customSheetView guid="{28BE6562-61BE-42C3-B697-462A6F62428C}" scale="85" showAutoFilter="1" hiddenColumns="1">
      <selection activeCell="J12" sqref="J12"/>
      <pageMargins left="0.511811024" right="0.511811024" top="0.78740157499999996" bottom="0.78740157499999996" header="0.31496062000000002" footer="0.31496062000000002"/>
      <pageSetup paperSize="9" orientation="portrait" r:id="rId1"/>
      <autoFilter ref="A1:AI125" xr:uid="{3A5D1B90-D0B5-4F4A-AF09-2C3C9CCF825A}"/>
    </customSheetView>
    <customSheetView guid="{00F68F5D-E7EC-4A9D-A8F7-19E9173D4D0E}" scale="70" showAutoFilter="1" hiddenColumns="1">
      <selection activeCell="X1" sqref="X1:AO1048576"/>
      <pageMargins left="0.511811024" right="0.511811024" top="0.78740157499999996" bottom="0.78740157499999996" header="0.31496062000000002" footer="0.31496062000000002"/>
      <pageSetup paperSize="9" orientation="portrait" r:id="rId2"/>
      <autoFilter ref="A1:AI125" xr:uid="{B747B717-B36A-4F9F-BB44-DF88913069EE}"/>
    </customSheetView>
  </customSheetView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364D-0260-4C6B-85A2-29A1EA742809}">
  <dimension ref="A1:N22"/>
  <sheetViews>
    <sheetView topLeftCell="F1" zoomScale="130" zoomScaleNormal="130" workbookViewId="0">
      <selection activeCell="N24" sqref="N24"/>
    </sheetView>
  </sheetViews>
  <sheetFormatPr defaultRowHeight="15" x14ac:dyDescent="0.25"/>
  <cols>
    <col min="1" max="1" width="20.28515625" style="2" bestFit="1" customWidth="1"/>
    <col min="2" max="2" width="31.28515625" bestFit="1" customWidth="1"/>
    <col min="3" max="3" width="23.42578125" bestFit="1" customWidth="1"/>
    <col min="4" max="4" width="6" bestFit="1" customWidth="1"/>
    <col min="5" max="6" width="5.7109375" customWidth="1"/>
    <col min="7" max="7" width="5.7109375" style="2" customWidth="1"/>
    <col min="8" max="9" width="5.7109375" customWidth="1"/>
    <col min="10" max="10" width="9.7109375" bestFit="1" customWidth="1"/>
    <col min="11" max="12" width="10.7109375" style="2" customWidth="1"/>
    <col min="13" max="14" width="10.7109375" customWidth="1"/>
    <col min="15" max="23" width="5.7109375" customWidth="1"/>
  </cols>
  <sheetData>
    <row r="1" spans="1:14" x14ac:dyDescent="0.25">
      <c r="K1" s="256" t="s">
        <v>358</v>
      </c>
      <c r="L1" s="256"/>
      <c r="M1" s="256" t="s">
        <v>357</v>
      </c>
      <c r="N1" s="256"/>
    </row>
    <row r="2" spans="1:14" x14ac:dyDescent="0.25">
      <c r="J2" s="28" t="s">
        <v>573</v>
      </c>
    </row>
    <row r="3" spans="1:14" x14ac:dyDescent="0.25">
      <c r="A3" s="204" t="s">
        <v>1</v>
      </c>
      <c r="B3" t="s">
        <v>62</v>
      </c>
      <c r="M3" s="2"/>
      <c r="N3" s="2"/>
    </row>
    <row r="4" spans="1:14" x14ac:dyDescent="0.25">
      <c r="M4" s="2"/>
      <c r="N4" s="2"/>
    </row>
    <row r="5" spans="1:14" x14ac:dyDescent="0.25">
      <c r="A5" s="204" t="s">
        <v>343</v>
      </c>
      <c r="B5" t="s">
        <v>568</v>
      </c>
      <c r="C5" t="s">
        <v>574</v>
      </c>
      <c r="G5"/>
      <c r="M5" s="2"/>
      <c r="N5" s="2"/>
    </row>
    <row r="6" spans="1:14" x14ac:dyDescent="0.25">
      <c r="A6" s="2">
        <v>12</v>
      </c>
      <c r="B6" s="209">
        <v>5</v>
      </c>
      <c r="C6" s="209">
        <v>1</v>
      </c>
      <c r="G6"/>
      <c r="M6" s="2"/>
      <c r="N6" s="2"/>
    </row>
    <row r="7" spans="1:14" x14ac:dyDescent="0.25">
      <c r="A7" s="210">
        <v>13</v>
      </c>
      <c r="B7" s="209">
        <v>5</v>
      </c>
      <c r="C7" s="209">
        <v>1</v>
      </c>
      <c r="G7"/>
      <c r="M7" s="2"/>
      <c r="N7" s="2"/>
    </row>
    <row r="8" spans="1:14" x14ac:dyDescent="0.25">
      <c r="A8" s="2">
        <v>14</v>
      </c>
      <c r="B8" s="209">
        <v>5</v>
      </c>
      <c r="C8" s="209">
        <v>1</v>
      </c>
      <c r="M8" s="2"/>
      <c r="N8" s="2"/>
    </row>
    <row r="9" spans="1:14" x14ac:dyDescent="0.25">
      <c r="A9" s="210">
        <v>15</v>
      </c>
      <c r="B9" s="209">
        <v>5</v>
      </c>
      <c r="C9" s="209">
        <v>1</v>
      </c>
      <c r="J9" s="203">
        <v>7</v>
      </c>
      <c r="K9" s="203">
        <f>IFERROR(VLOOKUP(J9,$A$6:$C$10,3,0),0)</f>
        <v>0</v>
      </c>
      <c r="L9" s="203"/>
      <c r="M9" s="203">
        <f>IFERROR(VLOOKUP(J9,$A$17:$C$21,3,0),0)</f>
        <v>0</v>
      </c>
      <c r="N9" s="203"/>
    </row>
    <row r="10" spans="1:14" x14ac:dyDescent="0.25">
      <c r="A10" s="2">
        <v>16</v>
      </c>
      <c r="B10" s="209">
        <v>5</v>
      </c>
      <c r="C10" s="209">
        <v>1</v>
      </c>
      <c r="J10" s="203">
        <v>8</v>
      </c>
      <c r="K10" s="203">
        <f t="shared" ref="K10:K18" si="0">IFERROR(VLOOKUP(J10,$A$6:$C$10,3,0),0)</f>
        <v>0</v>
      </c>
      <c r="L10" s="203"/>
      <c r="M10" s="203">
        <f t="shared" ref="M10:M19" si="1">IFERROR(VLOOKUP(J10,$A$17:$C$21,3,0),0)</f>
        <v>0</v>
      </c>
      <c r="N10" s="203"/>
    </row>
    <row r="11" spans="1:14" x14ac:dyDescent="0.25">
      <c r="A11" s="2" t="s">
        <v>344</v>
      </c>
      <c r="B11" s="209">
        <v>25</v>
      </c>
      <c r="C11" s="209">
        <v>5</v>
      </c>
      <c r="J11" s="203">
        <v>9</v>
      </c>
      <c r="K11" s="203">
        <f t="shared" si="0"/>
        <v>0</v>
      </c>
      <c r="L11" s="203"/>
      <c r="M11" s="203">
        <f t="shared" si="1"/>
        <v>0</v>
      </c>
      <c r="N11" s="203"/>
    </row>
    <row r="12" spans="1:14" x14ac:dyDescent="0.25">
      <c r="J12" s="203">
        <v>10</v>
      </c>
      <c r="K12" s="203">
        <f t="shared" si="0"/>
        <v>0</v>
      </c>
      <c r="L12" s="203"/>
      <c r="M12" s="203">
        <f t="shared" si="1"/>
        <v>0</v>
      </c>
      <c r="N12" s="203"/>
    </row>
    <row r="13" spans="1:14" x14ac:dyDescent="0.25">
      <c r="J13" s="203">
        <v>11</v>
      </c>
      <c r="K13" s="203">
        <f t="shared" si="0"/>
        <v>0</v>
      </c>
      <c r="L13" s="203"/>
      <c r="M13" s="203">
        <f t="shared" si="1"/>
        <v>0</v>
      </c>
      <c r="N13" s="203"/>
    </row>
    <row r="14" spans="1:14" x14ac:dyDescent="0.25">
      <c r="A14" s="204" t="s">
        <v>1</v>
      </c>
      <c r="B14" t="s">
        <v>62</v>
      </c>
      <c r="J14" s="203">
        <v>12</v>
      </c>
      <c r="K14" s="203">
        <f t="shared" si="0"/>
        <v>1</v>
      </c>
      <c r="L14" s="203">
        <f t="shared" ref="L14:N19" si="2">+L13+K14</f>
        <v>1</v>
      </c>
      <c r="M14" s="203">
        <f t="shared" si="1"/>
        <v>0</v>
      </c>
      <c r="N14" s="203"/>
    </row>
    <row r="15" spans="1:14" x14ac:dyDescent="0.25">
      <c r="J15" s="203">
        <v>13</v>
      </c>
      <c r="K15" s="203">
        <f t="shared" si="0"/>
        <v>1</v>
      </c>
      <c r="L15" s="203">
        <f t="shared" si="2"/>
        <v>2</v>
      </c>
      <c r="M15" s="203">
        <f t="shared" si="1"/>
        <v>1</v>
      </c>
      <c r="N15" s="203">
        <f t="shared" si="2"/>
        <v>1</v>
      </c>
    </row>
    <row r="16" spans="1:14" x14ac:dyDescent="0.25">
      <c r="A16" s="204" t="s">
        <v>343</v>
      </c>
      <c r="B16" t="s">
        <v>572</v>
      </c>
      <c r="C16" t="s">
        <v>574</v>
      </c>
      <c r="G16"/>
      <c r="J16" s="203">
        <v>14</v>
      </c>
      <c r="K16" s="203">
        <f t="shared" si="0"/>
        <v>1</v>
      </c>
      <c r="L16" s="203">
        <f t="shared" si="2"/>
        <v>3</v>
      </c>
      <c r="M16" s="203">
        <f t="shared" si="1"/>
        <v>1</v>
      </c>
      <c r="N16" s="203">
        <f t="shared" si="2"/>
        <v>2</v>
      </c>
    </row>
    <row r="17" spans="1:14" x14ac:dyDescent="0.25">
      <c r="A17" s="2">
        <v>13</v>
      </c>
      <c r="B17" s="13">
        <v>5</v>
      </c>
      <c r="C17" s="13">
        <v>1</v>
      </c>
      <c r="G17"/>
      <c r="J17" s="203">
        <v>15</v>
      </c>
      <c r="K17" s="203">
        <f t="shared" si="0"/>
        <v>1</v>
      </c>
      <c r="L17" s="203">
        <f t="shared" si="2"/>
        <v>4</v>
      </c>
      <c r="M17" s="203">
        <f t="shared" si="1"/>
        <v>1</v>
      </c>
      <c r="N17" s="203">
        <f t="shared" si="2"/>
        <v>3</v>
      </c>
    </row>
    <row r="18" spans="1:14" x14ac:dyDescent="0.25">
      <c r="A18" s="2">
        <v>14</v>
      </c>
      <c r="B18" s="13">
        <v>5</v>
      </c>
      <c r="C18" s="13">
        <v>1</v>
      </c>
      <c r="G18"/>
      <c r="J18" s="203">
        <v>16</v>
      </c>
      <c r="K18" s="203">
        <f t="shared" si="0"/>
        <v>1</v>
      </c>
      <c r="L18" s="203">
        <f t="shared" si="2"/>
        <v>5</v>
      </c>
      <c r="M18" s="203">
        <f t="shared" si="1"/>
        <v>1</v>
      </c>
      <c r="N18" s="203">
        <f t="shared" si="2"/>
        <v>4</v>
      </c>
    </row>
    <row r="19" spans="1:14" x14ac:dyDescent="0.25">
      <c r="A19" s="2">
        <v>15</v>
      </c>
      <c r="B19" s="13">
        <v>5</v>
      </c>
      <c r="C19" s="13">
        <v>1</v>
      </c>
      <c r="J19" s="203">
        <v>17</v>
      </c>
      <c r="K19" s="203"/>
      <c r="L19" s="203"/>
      <c r="M19" s="203">
        <f t="shared" si="1"/>
        <v>1</v>
      </c>
      <c r="N19" s="203">
        <f t="shared" si="2"/>
        <v>5</v>
      </c>
    </row>
    <row r="20" spans="1:14" x14ac:dyDescent="0.25">
      <c r="A20" s="2">
        <v>16</v>
      </c>
      <c r="B20" s="13">
        <v>6</v>
      </c>
      <c r="C20" s="13">
        <v>1</v>
      </c>
    </row>
    <row r="21" spans="1:14" x14ac:dyDescent="0.25">
      <c r="A21" s="2">
        <v>17</v>
      </c>
      <c r="B21" s="13">
        <v>6</v>
      </c>
      <c r="C21" s="13">
        <v>1</v>
      </c>
    </row>
    <row r="22" spans="1:14" x14ac:dyDescent="0.25">
      <c r="A22" s="2" t="s">
        <v>344</v>
      </c>
      <c r="B22" s="13">
        <v>27</v>
      </c>
      <c r="C22" s="13">
        <v>5</v>
      </c>
    </row>
  </sheetData>
  <mergeCells count="2">
    <mergeCell ref="K1:L1"/>
    <mergeCell ref="M1:N1"/>
  </mergeCells>
  <pageMargins left="0.511811024" right="0.511811024" top="0.78740157499999996" bottom="0.78740157499999996" header="0.31496062000000002" footer="0.31496062000000002"/>
  <ignoredErrors>
    <ignoredError sqref="M15:M19" formula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5B72-EB2F-47E6-82EA-EEBDD624BF3F}">
  <sheetPr>
    <tabColor theme="7" tint="0.39997558519241921"/>
  </sheetPr>
  <dimension ref="A1:C127"/>
  <sheetViews>
    <sheetView topLeftCell="A43" zoomScale="85" zoomScaleNormal="85" workbookViewId="0">
      <selection activeCell="A6" sqref="A6:A34"/>
    </sheetView>
  </sheetViews>
  <sheetFormatPr defaultRowHeight="15" x14ac:dyDescent="0.25"/>
  <cols>
    <col min="1" max="1" width="32.5703125" bestFit="1" customWidth="1"/>
    <col min="2" max="2" width="12.85546875" style="9" bestFit="1" customWidth="1"/>
    <col min="3" max="3" width="11.85546875" style="9" bestFit="1" customWidth="1"/>
  </cols>
  <sheetData>
    <row r="1" spans="1:3" x14ac:dyDescent="0.25">
      <c r="A1" s="28" t="s">
        <v>576</v>
      </c>
    </row>
    <row r="3" spans="1:3" x14ac:dyDescent="0.25">
      <c r="B3" s="9" t="s">
        <v>5</v>
      </c>
      <c r="C3" s="9" t="s">
        <v>6</v>
      </c>
    </row>
    <row r="4" spans="1:3" x14ac:dyDescent="0.25">
      <c r="B4" s="9">
        <v>44424</v>
      </c>
      <c r="C4" s="9">
        <v>44679</v>
      </c>
    </row>
    <row r="5" spans="1:3" x14ac:dyDescent="0.25">
      <c r="B5" s="9">
        <v>44424</v>
      </c>
      <c r="C5" s="9">
        <v>44463</v>
      </c>
    </row>
    <row r="6" spans="1:3" x14ac:dyDescent="0.25">
      <c r="A6" t="s">
        <v>434</v>
      </c>
      <c r="B6" s="9">
        <v>44424</v>
      </c>
      <c r="C6" s="9">
        <v>44428</v>
      </c>
    </row>
    <row r="7" spans="1:3" x14ac:dyDescent="0.25">
      <c r="A7" t="s">
        <v>435</v>
      </c>
      <c r="B7" s="9">
        <v>44431</v>
      </c>
      <c r="C7" s="9">
        <v>44442</v>
      </c>
    </row>
    <row r="8" spans="1:3" x14ac:dyDescent="0.25">
      <c r="A8" t="s">
        <v>436</v>
      </c>
      <c r="B8" s="9">
        <v>44445</v>
      </c>
      <c r="C8" s="9">
        <v>44449</v>
      </c>
    </row>
    <row r="9" spans="1:3" x14ac:dyDescent="0.25">
      <c r="A9" t="s">
        <v>437</v>
      </c>
      <c r="B9" s="9">
        <v>44452</v>
      </c>
      <c r="C9" s="9">
        <v>44456</v>
      </c>
    </row>
    <row r="10" spans="1:3" x14ac:dyDescent="0.25">
      <c r="A10" t="s">
        <v>438</v>
      </c>
      <c r="B10" s="9">
        <v>44459</v>
      </c>
      <c r="C10" s="9">
        <v>44463</v>
      </c>
    </row>
    <row r="11" spans="1:3" x14ac:dyDescent="0.25">
      <c r="A11" t="s">
        <v>50</v>
      </c>
      <c r="B11" s="9">
        <v>44466</v>
      </c>
      <c r="C11" s="9">
        <v>44658</v>
      </c>
    </row>
    <row r="12" spans="1:3" x14ac:dyDescent="0.25">
      <c r="A12" t="s">
        <v>439</v>
      </c>
      <c r="B12" s="9">
        <v>44466</v>
      </c>
      <c r="C12" s="9">
        <v>44470</v>
      </c>
    </row>
    <row r="13" spans="1:3" x14ac:dyDescent="0.25">
      <c r="A13" t="s">
        <v>440</v>
      </c>
      <c r="B13" s="9">
        <v>44473</v>
      </c>
      <c r="C13" s="9">
        <v>44477</v>
      </c>
    </row>
    <row r="14" spans="1:3" x14ac:dyDescent="0.25">
      <c r="A14" t="s">
        <v>441</v>
      </c>
      <c r="B14" s="9">
        <v>44501</v>
      </c>
      <c r="C14" s="9">
        <v>44505</v>
      </c>
    </row>
    <row r="15" spans="1:3" x14ac:dyDescent="0.25">
      <c r="A15" t="s">
        <v>442</v>
      </c>
      <c r="B15" s="9">
        <v>44515</v>
      </c>
      <c r="C15" s="9">
        <v>44519</v>
      </c>
    </row>
    <row r="16" spans="1:3" x14ac:dyDescent="0.25">
      <c r="A16" t="s">
        <v>443</v>
      </c>
      <c r="B16" s="9">
        <v>44550</v>
      </c>
      <c r="C16" s="9">
        <v>44552</v>
      </c>
    </row>
    <row r="17" spans="1:3" x14ac:dyDescent="0.25">
      <c r="A17" t="s">
        <v>444</v>
      </c>
      <c r="B17" s="9">
        <v>44564</v>
      </c>
      <c r="C17" s="9">
        <v>44566</v>
      </c>
    </row>
    <row r="18" spans="1:3" x14ac:dyDescent="0.25">
      <c r="A18" t="s">
        <v>445</v>
      </c>
      <c r="B18" s="9">
        <v>44567</v>
      </c>
      <c r="C18" s="9">
        <v>44573</v>
      </c>
    </row>
    <row r="19" spans="1:3" x14ac:dyDescent="0.25">
      <c r="A19" t="s">
        <v>446</v>
      </c>
      <c r="B19" s="9">
        <v>44574</v>
      </c>
      <c r="C19" s="9">
        <v>44580</v>
      </c>
    </row>
    <row r="20" spans="1:3" x14ac:dyDescent="0.25">
      <c r="A20" t="s">
        <v>447</v>
      </c>
      <c r="B20" s="9">
        <v>44588</v>
      </c>
      <c r="C20" s="9">
        <v>44592</v>
      </c>
    </row>
    <row r="21" spans="1:3" x14ac:dyDescent="0.25">
      <c r="A21" t="s">
        <v>448</v>
      </c>
      <c r="B21" s="9">
        <v>44593</v>
      </c>
      <c r="C21" s="9">
        <v>44599</v>
      </c>
    </row>
    <row r="22" spans="1:3" x14ac:dyDescent="0.25">
      <c r="A22" t="s">
        <v>449</v>
      </c>
      <c r="B22" s="9">
        <v>44600</v>
      </c>
      <c r="C22" s="9">
        <v>44606</v>
      </c>
    </row>
    <row r="23" spans="1:3" x14ac:dyDescent="0.25">
      <c r="A23" t="s">
        <v>539</v>
      </c>
      <c r="B23" s="9">
        <v>44607</v>
      </c>
      <c r="C23" s="9">
        <v>44613</v>
      </c>
    </row>
    <row r="24" spans="1:3" x14ac:dyDescent="0.25">
      <c r="A24" t="s">
        <v>450</v>
      </c>
      <c r="B24" s="9">
        <v>44609</v>
      </c>
      <c r="C24" s="9">
        <v>44613</v>
      </c>
    </row>
    <row r="25" spans="1:3" x14ac:dyDescent="0.25">
      <c r="A25" t="s">
        <v>451</v>
      </c>
      <c r="B25" s="9">
        <v>44614</v>
      </c>
      <c r="C25" s="9">
        <v>44620</v>
      </c>
    </row>
    <row r="26" spans="1:3" x14ac:dyDescent="0.25">
      <c r="A26" t="s">
        <v>452</v>
      </c>
      <c r="B26" s="9">
        <v>44630</v>
      </c>
      <c r="C26" s="9">
        <v>44634</v>
      </c>
    </row>
    <row r="27" spans="1:3" x14ac:dyDescent="0.25">
      <c r="A27" t="s">
        <v>453</v>
      </c>
      <c r="B27" s="9">
        <v>44630</v>
      </c>
      <c r="C27" s="9">
        <v>44634</v>
      </c>
    </row>
    <row r="28" spans="1:3" x14ac:dyDescent="0.25">
      <c r="A28" t="s">
        <v>454</v>
      </c>
      <c r="B28" s="9">
        <v>44635</v>
      </c>
      <c r="C28" s="9">
        <v>44637</v>
      </c>
    </row>
    <row r="29" spans="1:3" x14ac:dyDescent="0.25">
      <c r="A29" t="s">
        <v>455</v>
      </c>
      <c r="B29" s="9">
        <v>44637</v>
      </c>
      <c r="C29" s="9">
        <v>44641</v>
      </c>
    </row>
    <row r="30" spans="1:3" x14ac:dyDescent="0.25">
      <c r="A30" t="s">
        <v>456</v>
      </c>
      <c r="B30" s="9">
        <v>44637</v>
      </c>
      <c r="C30" s="9">
        <v>44641</v>
      </c>
    </row>
    <row r="31" spans="1:3" x14ac:dyDescent="0.25">
      <c r="A31" t="s">
        <v>457</v>
      </c>
      <c r="B31" s="9">
        <v>44642</v>
      </c>
      <c r="C31" s="9">
        <v>44648</v>
      </c>
    </row>
    <row r="32" spans="1:3" x14ac:dyDescent="0.25">
      <c r="A32" t="s">
        <v>458</v>
      </c>
      <c r="B32" s="9">
        <v>44649</v>
      </c>
      <c r="C32" s="9">
        <v>44655</v>
      </c>
    </row>
    <row r="33" spans="1:3" x14ac:dyDescent="0.25">
      <c r="A33" t="s">
        <v>459</v>
      </c>
      <c r="B33" s="9">
        <v>44656</v>
      </c>
      <c r="C33" s="9">
        <v>44658</v>
      </c>
    </row>
    <row r="34" spans="1:3" x14ac:dyDescent="0.25">
      <c r="A34" t="s">
        <v>142</v>
      </c>
      <c r="B34" s="9">
        <v>44480</v>
      </c>
      <c r="C34" s="9">
        <v>44665</v>
      </c>
    </row>
    <row r="35" spans="1:3" x14ac:dyDescent="0.25">
      <c r="A35" t="s">
        <v>460</v>
      </c>
      <c r="B35" s="9">
        <v>44480</v>
      </c>
      <c r="C35" s="9">
        <v>44484</v>
      </c>
    </row>
    <row r="36" spans="1:3" x14ac:dyDescent="0.25">
      <c r="A36" t="s">
        <v>461</v>
      </c>
      <c r="B36" s="9">
        <v>44487</v>
      </c>
      <c r="C36" s="9">
        <v>44491</v>
      </c>
    </row>
    <row r="37" spans="1:3" x14ac:dyDescent="0.25">
      <c r="A37" t="s">
        <v>462</v>
      </c>
      <c r="B37" s="9">
        <v>44508</v>
      </c>
      <c r="C37" s="9">
        <v>44512</v>
      </c>
    </row>
    <row r="38" spans="1:3" x14ac:dyDescent="0.25">
      <c r="A38" t="s">
        <v>463</v>
      </c>
      <c r="B38" s="9">
        <v>44522</v>
      </c>
      <c r="C38" s="9">
        <v>44526</v>
      </c>
    </row>
    <row r="39" spans="1:3" x14ac:dyDescent="0.25">
      <c r="A39" t="s">
        <v>464</v>
      </c>
      <c r="B39" s="9">
        <v>44552</v>
      </c>
      <c r="C39" s="9">
        <v>44554</v>
      </c>
    </row>
    <row r="40" spans="1:3" x14ac:dyDescent="0.25">
      <c r="A40" t="s">
        <v>465</v>
      </c>
      <c r="B40" s="9">
        <v>44567</v>
      </c>
      <c r="C40" s="9">
        <v>44573</v>
      </c>
    </row>
    <row r="41" spans="1:3" x14ac:dyDescent="0.25">
      <c r="A41" t="s">
        <v>466</v>
      </c>
      <c r="B41" s="9">
        <v>44574</v>
      </c>
      <c r="C41" s="9">
        <v>44580</v>
      </c>
    </row>
    <row r="42" spans="1:3" x14ac:dyDescent="0.25">
      <c r="A42" t="s">
        <v>467</v>
      </c>
      <c r="B42" s="9">
        <v>44581</v>
      </c>
      <c r="C42" s="9">
        <v>44587</v>
      </c>
    </row>
    <row r="43" spans="1:3" x14ac:dyDescent="0.25">
      <c r="A43" t="s">
        <v>468</v>
      </c>
      <c r="B43" s="9">
        <v>44593</v>
      </c>
      <c r="C43" s="9">
        <v>44595</v>
      </c>
    </row>
    <row r="44" spans="1:3" x14ac:dyDescent="0.25">
      <c r="A44" t="s">
        <v>469</v>
      </c>
      <c r="B44" s="9">
        <v>44600</v>
      </c>
      <c r="C44" s="9">
        <v>44606</v>
      </c>
    </row>
    <row r="45" spans="1:3" x14ac:dyDescent="0.25">
      <c r="A45" t="s">
        <v>470</v>
      </c>
      <c r="B45" s="9">
        <v>44607</v>
      </c>
      <c r="C45" s="9">
        <v>44613</v>
      </c>
    </row>
    <row r="46" spans="1:3" x14ac:dyDescent="0.25">
      <c r="A46" t="s">
        <v>471</v>
      </c>
      <c r="B46" s="9">
        <v>44614</v>
      </c>
      <c r="C46" s="9">
        <v>44616</v>
      </c>
    </row>
    <row r="47" spans="1:3" x14ac:dyDescent="0.25">
      <c r="A47" t="s">
        <v>540</v>
      </c>
      <c r="B47" s="9">
        <v>44614</v>
      </c>
      <c r="C47" s="9">
        <v>44620</v>
      </c>
    </row>
    <row r="48" spans="1:3" x14ac:dyDescent="0.25">
      <c r="A48" t="s">
        <v>472</v>
      </c>
      <c r="B48" s="9">
        <v>44621</v>
      </c>
      <c r="C48" s="9">
        <v>44627</v>
      </c>
    </row>
    <row r="49" spans="1:3" x14ac:dyDescent="0.25">
      <c r="A49" t="s">
        <v>473</v>
      </c>
      <c r="B49" s="9">
        <v>44630</v>
      </c>
      <c r="C49" s="9">
        <v>44634</v>
      </c>
    </row>
    <row r="50" spans="1:3" x14ac:dyDescent="0.25">
      <c r="A50" t="s">
        <v>474</v>
      </c>
      <c r="B50" s="9">
        <v>44635</v>
      </c>
      <c r="C50" s="9">
        <v>44637</v>
      </c>
    </row>
    <row r="51" spans="1:3" x14ac:dyDescent="0.25">
      <c r="A51" t="s">
        <v>475</v>
      </c>
      <c r="B51" s="9">
        <v>44637</v>
      </c>
      <c r="C51" s="9">
        <v>44641</v>
      </c>
    </row>
    <row r="52" spans="1:3" x14ac:dyDescent="0.25">
      <c r="A52" t="s">
        <v>476</v>
      </c>
      <c r="B52" s="9">
        <v>44642</v>
      </c>
      <c r="C52" s="9">
        <v>44644</v>
      </c>
    </row>
    <row r="53" spans="1:3" x14ac:dyDescent="0.25">
      <c r="A53" t="s">
        <v>477</v>
      </c>
      <c r="B53" s="9">
        <v>44642</v>
      </c>
      <c r="C53" s="9">
        <v>44644</v>
      </c>
    </row>
    <row r="54" spans="1:3" x14ac:dyDescent="0.25">
      <c r="A54" t="s">
        <v>478</v>
      </c>
      <c r="B54" s="9">
        <v>44649</v>
      </c>
      <c r="C54" s="9">
        <v>44655</v>
      </c>
    </row>
    <row r="55" spans="1:3" x14ac:dyDescent="0.25">
      <c r="A55" t="s">
        <v>479</v>
      </c>
      <c r="B55" s="9">
        <v>44656</v>
      </c>
      <c r="C55" s="9">
        <v>44662</v>
      </c>
    </row>
    <row r="56" spans="1:3" x14ac:dyDescent="0.25">
      <c r="A56" t="s">
        <v>480</v>
      </c>
      <c r="B56" s="9">
        <v>44663</v>
      </c>
      <c r="C56" s="9">
        <v>44665</v>
      </c>
    </row>
    <row r="57" spans="1:3" x14ac:dyDescent="0.25">
      <c r="A57" t="s">
        <v>183</v>
      </c>
      <c r="B57" s="9">
        <v>44494</v>
      </c>
      <c r="C57" s="9">
        <v>44672</v>
      </c>
    </row>
    <row r="58" spans="1:3" x14ac:dyDescent="0.25">
      <c r="A58" t="s">
        <v>481</v>
      </c>
      <c r="B58" s="9">
        <v>44494</v>
      </c>
      <c r="C58" s="9">
        <v>44498</v>
      </c>
    </row>
    <row r="59" spans="1:3" x14ac:dyDescent="0.25">
      <c r="A59" t="s">
        <v>482</v>
      </c>
      <c r="B59" s="9">
        <v>44501</v>
      </c>
      <c r="C59" s="9">
        <v>44505</v>
      </c>
    </row>
    <row r="60" spans="1:3" x14ac:dyDescent="0.25">
      <c r="A60" t="s">
        <v>483</v>
      </c>
      <c r="B60" s="9">
        <v>44515</v>
      </c>
      <c r="C60" s="9">
        <v>44519</v>
      </c>
    </row>
    <row r="61" spans="1:3" x14ac:dyDescent="0.25">
      <c r="A61" t="s">
        <v>484</v>
      </c>
      <c r="B61" s="9">
        <v>44529</v>
      </c>
      <c r="C61" s="9">
        <v>44533</v>
      </c>
    </row>
    <row r="62" spans="1:3" x14ac:dyDescent="0.25">
      <c r="A62" t="s">
        <v>485</v>
      </c>
      <c r="B62" s="9">
        <v>44564</v>
      </c>
      <c r="C62" s="9">
        <v>44566</v>
      </c>
    </row>
    <row r="63" spans="1:3" x14ac:dyDescent="0.25">
      <c r="A63" t="s">
        <v>486</v>
      </c>
      <c r="B63" s="9">
        <v>44574</v>
      </c>
      <c r="C63" s="9">
        <v>44580</v>
      </c>
    </row>
    <row r="64" spans="1:3" x14ac:dyDescent="0.25">
      <c r="A64" t="s">
        <v>487</v>
      </c>
      <c r="B64" s="9">
        <v>44581</v>
      </c>
      <c r="C64" s="9">
        <v>44587</v>
      </c>
    </row>
    <row r="65" spans="1:3" x14ac:dyDescent="0.25">
      <c r="A65" t="s">
        <v>488</v>
      </c>
      <c r="B65" s="9">
        <v>44588</v>
      </c>
      <c r="C65" s="9">
        <v>44594</v>
      </c>
    </row>
    <row r="66" spans="1:3" x14ac:dyDescent="0.25">
      <c r="A66" t="s">
        <v>489</v>
      </c>
      <c r="B66" s="9">
        <v>44595</v>
      </c>
      <c r="C66" s="9">
        <v>44599</v>
      </c>
    </row>
    <row r="67" spans="1:3" x14ac:dyDescent="0.25">
      <c r="A67" t="s">
        <v>490</v>
      </c>
      <c r="B67" s="9">
        <v>44607</v>
      </c>
      <c r="C67" s="9">
        <v>44613</v>
      </c>
    </row>
    <row r="68" spans="1:3" x14ac:dyDescent="0.25">
      <c r="A68" t="s">
        <v>491</v>
      </c>
      <c r="B68" s="9">
        <v>44614</v>
      </c>
      <c r="C68" s="9">
        <v>44620</v>
      </c>
    </row>
    <row r="69" spans="1:3" x14ac:dyDescent="0.25">
      <c r="A69" t="s">
        <v>492</v>
      </c>
      <c r="B69" s="9">
        <v>44616</v>
      </c>
      <c r="C69" s="9">
        <v>44620</v>
      </c>
    </row>
    <row r="70" spans="1:3" x14ac:dyDescent="0.25">
      <c r="A70" t="s">
        <v>541</v>
      </c>
      <c r="B70" s="9">
        <v>44621</v>
      </c>
      <c r="C70" s="9">
        <v>44627</v>
      </c>
    </row>
    <row r="71" spans="1:3" x14ac:dyDescent="0.25">
      <c r="A71" t="s">
        <v>493</v>
      </c>
      <c r="B71" s="9">
        <v>44628</v>
      </c>
      <c r="C71" s="9">
        <v>44634</v>
      </c>
    </row>
    <row r="72" spans="1:3" x14ac:dyDescent="0.25">
      <c r="A72" t="s">
        <v>494</v>
      </c>
      <c r="B72" s="9">
        <v>44630</v>
      </c>
      <c r="C72" s="9">
        <v>44634</v>
      </c>
    </row>
    <row r="73" spans="1:3" x14ac:dyDescent="0.25">
      <c r="A73" t="s">
        <v>495</v>
      </c>
      <c r="B73" s="9">
        <v>44637</v>
      </c>
      <c r="C73" s="9">
        <v>44641</v>
      </c>
    </row>
    <row r="74" spans="1:3" x14ac:dyDescent="0.25">
      <c r="A74" t="s">
        <v>496</v>
      </c>
      <c r="B74" s="9">
        <v>44642</v>
      </c>
      <c r="C74" s="9">
        <v>44644</v>
      </c>
    </row>
    <row r="75" spans="1:3" x14ac:dyDescent="0.25">
      <c r="A75" t="s">
        <v>497</v>
      </c>
      <c r="B75" s="9">
        <v>44644</v>
      </c>
      <c r="C75" s="9">
        <v>44648</v>
      </c>
    </row>
    <row r="76" spans="1:3" x14ac:dyDescent="0.25">
      <c r="A76" t="s">
        <v>498</v>
      </c>
      <c r="B76" s="9">
        <v>44644</v>
      </c>
      <c r="C76" s="9">
        <v>44648</v>
      </c>
    </row>
    <row r="77" spans="1:3" x14ac:dyDescent="0.25">
      <c r="A77" t="s">
        <v>499</v>
      </c>
      <c r="B77" s="9">
        <v>44656</v>
      </c>
      <c r="C77" s="9">
        <v>44662</v>
      </c>
    </row>
    <row r="78" spans="1:3" x14ac:dyDescent="0.25">
      <c r="A78" t="s">
        <v>500</v>
      </c>
      <c r="B78" s="9">
        <v>44663</v>
      </c>
      <c r="C78" s="9">
        <v>44669</v>
      </c>
    </row>
    <row r="79" spans="1:3" x14ac:dyDescent="0.25">
      <c r="A79" t="s">
        <v>501</v>
      </c>
      <c r="B79" s="9">
        <v>44670</v>
      </c>
      <c r="C79" s="9">
        <v>44672</v>
      </c>
    </row>
    <row r="80" spans="1:3" x14ac:dyDescent="0.25">
      <c r="A80" t="s">
        <v>224</v>
      </c>
      <c r="B80" s="9">
        <v>44508</v>
      </c>
      <c r="C80" s="9">
        <v>44679</v>
      </c>
    </row>
    <row r="81" spans="1:3" x14ac:dyDescent="0.25">
      <c r="A81" t="s">
        <v>502</v>
      </c>
      <c r="B81" s="9">
        <v>44508</v>
      </c>
      <c r="C81" s="9">
        <v>44512</v>
      </c>
    </row>
    <row r="82" spans="1:3" x14ac:dyDescent="0.25">
      <c r="A82" t="s">
        <v>503</v>
      </c>
      <c r="B82" s="9">
        <v>44515</v>
      </c>
      <c r="C82" s="9">
        <v>44519</v>
      </c>
    </row>
    <row r="83" spans="1:3" x14ac:dyDescent="0.25">
      <c r="A83" t="s">
        <v>504</v>
      </c>
      <c r="B83" s="9">
        <v>44522</v>
      </c>
      <c r="C83" s="9">
        <v>44526</v>
      </c>
    </row>
    <row r="84" spans="1:3" x14ac:dyDescent="0.25">
      <c r="A84" t="s">
        <v>505</v>
      </c>
      <c r="B84" s="9">
        <v>44536</v>
      </c>
      <c r="C84" s="9">
        <v>44540</v>
      </c>
    </row>
    <row r="85" spans="1:3" x14ac:dyDescent="0.25">
      <c r="A85" t="s">
        <v>506</v>
      </c>
      <c r="B85" s="9">
        <v>44566</v>
      </c>
      <c r="C85" s="9">
        <v>44568</v>
      </c>
    </row>
    <row r="86" spans="1:3" x14ac:dyDescent="0.25">
      <c r="A86" t="s">
        <v>507</v>
      </c>
      <c r="B86" s="9">
        <v>44581</v>
      </c>
      <c r="C86" s="9">
        <v>44587</v>
      </c>
    </row>
    <row r="87" spans="1:3" x14ac:dyDescent="0.25">
      <c r="A87" t="s">
        <v>508</v>
      </c>
      <c r="B87" s="9">
        <v>44588</v>
      </c>
      <c r="C87" s="9">
        <v>44594</v>
      </c>
    </row>
    <row r="88" spans="1:3" x14ac:dyDescent="0.25">
      <c r="A88" t="s">
        <v>509</v>
      </c>
      <c r="B88" s="9">
        <v>44595</v>
      </c>
      <c r="C88" s="9">
        <v>44601</v>
      </c>
    </row>
    <row r="89" spans="1:3" x14ac:dyDescent="0.25">
      <c r="A89" t="s">
        <v>510</v>
      </c>
      <c r="B89" s="9">
        <v>44602</v>
      </c>
      <c r="C89" s="9">
        <v>44606</v>
      </c>
    </row>
    <row r="90" spans="1:3" x14ac:dyDescent="0.25">
      <c r="A90" t="s">
        <v>511</v>
      </c>
      <c r="B90" s="9">
        <v>44614</v>
      </c>
      <c r="C90" s="9">
        <v>44620</v>
      </c>
    </row>
    <row r="91" spans="1:3" x14ac:dyDescent="0.25">
      <c r="A91" t="s">
        <v>512</v>
      </c>
      <c r="B91" s="9">
        <v>44621</v>
      </c>
      <c r="C91" s="9">
        <v>44623</v>
      </c>
    </row>
    <row r="92" spans="1:3" x14ac:dyDescent="0.25">
      <c r="A92" t="s">
        <v>513</v>
      </c>
      <c r="B92" s="9">
        <v>44621</v>
      </c>
      <c r="C92" s="9">
        <v>44627</v>
      </c>
    </row>
    <row r="93" spans="1:3" x14ac:dyDescent="0.25">
      <c r="A93" t="s">
        <v>542</v>
      </c>
      <c r="B93" s="9">
        <v>44628</v>
      </c>
      <c r="C93" s="9">
        <v>44634</v>
      </c>
    </row>
    <row r="94" spans="1:3" x14ac:dyDescent="0.25">
      <c r="A94" t="s">
        <v>514</v>
      </c>
      <c r="B94" s="9">
        <v>44630</v>
      </c>
      <c r="C94" s="9">
        <v>44634</v>
      </c>
    </row>
    <row r="95" spans="1:3" x14ac:dyDescent="0.25">
      <c r="A95" t="s">
        <v>515</v>
      </c>
      <c r="B95" s="9">
        <v>44635</v>
      </c>
      <c r="C95" s="9">
        <v>44641</v>
      </c>
    </row>
    <row r="96" spans="1:3" x14ac:dyDescent="0.25">
      <c r="A96" t="s">
        <v>516</v>
      </c>
      <c r="B96" s="9">
        <v>44642</v>
      </c>
      <c r="C96" s="9">
        <v>44644</v>
      </c>
    </row>
    <row r="97" spans="1:3" x14ac:dyDescent="0.25">
      <c r="A97" t="s">
        <v>517</v>
      </c>
      <c r="B97" s="9">
        <v>44644</v>
      </c>
      <c r="C97" s="9">
        <v>44648</v>
      </c>
    </row>
    <row r="98" spans="1:3" x14ac:dyDescent="0.25">
      <c r="A98" t="s">
        <v>518</v>
      </c>
      <c r="B98" s="9">
        <v>44649</v>
      </c>
      <c r="C98" s="9">
        <v>44651</v>
      </c>
    </row>
    <row r="99" spans="1:3" x14ac:dyDescent="0.25">
      <c r="A99" t="s">
        <v>519</v>
      </c>
      <c r="B99" s="9">
        <v>44649</v>
      </c>
      <c r="C99" s="9">
        <v>44651</v>
      </c>
    </row>
    <row r="100" spans="1:3" x14ac:dyDescent="0.25">
      <c r="A100" t="s">
        <v>520</v>
      </c>
      <c r="B100" s="9">
        <v>44663</v>
      </c>
      <c r="C100" s="9">
        <v>44669</v>
      </c>
    </row>
    <row r="101" spans="1:3" x14ac:dyDescent="0.25">
      <c r="A101" t="s">
        <v>521</v>
      </c>
      <c r="B101" s="9">
        <v>44670</v>
      </c>
      <c r="C101" s="9">
        <v>44676</v>
      </c>
    </row>
    <row r="102" spans="1:3" x14ac:dyDescent="0.25">
      <c r="A102" t="s">
        <v>522</v>
      </c>
      <c r="B102" s="9">
        <v>44677</v>
      </c>
      <c r="C102" s="9">
        <v>44679</v>
      </c>
    </row>
    <row r="103" spans="1:3" x14ac:dyDescent="0.25">
      <c r="A103" t="s">
        <v>265</v>
      </c>
      <c r="B103" s="9">
        <v>44522</v>
      </c>
      <c r="C103" s="9">
        <v>44554</v>
      </c>
    </row>
    <row r="104" spans="1:3" x14ac:dyDescent="0.25">
      <c r="A104" t="s">
        <v>523</v>
      </c>
      <c r="B104" s="9">
        <v>44522</v>
      </c>
      <c r="C104" s="9">
        <v>44526</v>
      </c>
    </row>
    <row r="105" spans="1:3" x14ac:dyDescent="0.25">
      <c r="A105" t="s">
        <v>524</v>
      </c>
      <c r="B105" s="9">
        <v>44529</v>
      </c>
      <c r="C105" s="9">
        <v>44533</v>
      </c>
    </row>
    <row r="106" spans="1:3" x14ac:dyDescent="0.25">
      <c r="A106" t="s">
        <v>525</v>
      </c>
      <c r="B106" s="9">
        <v>44536</v>
      </c>
      <c r="C106" s="9">
        <v>44540</v>
      </c>
    </row>
    <row r="107" spans="1:3" x14ac:dyDescent="0.25">
      <c r="A107" t="s">
        <v>526</v>
      </c>
      <c r="B107" s="9">
        <v>44543</v>
      </c>
      <c r="C107" s="9">
        <v>44547</v>
      </c>
    </row>
    <row r="108" spans="1:3" x14ac:dyDescent="0.25">
      <c r="A108" t="s">
        <v>281</v>
      </c>
      <c r="B108" s="9">
        <v>44550</v>
      </c>
      <c r="C108" s="9">
        <v>44554</v>
      </c>
    </row>
    <row r="109" spans="1:3" x14ac:dyDescent="0.25">
      <c r="A109" t="s">
        <v>283</v>
      </c>
      <c r="B109" s="9">
        <v>44564</v>
      </c>
      <c r="C109" s="9">
        <v>44643</v>
      </c>
    </row>
    <row r="110" spans="1:3" x14ac:dyDescent="0.25">
      <c r="A110" t="s">
        <v>285</v>
      </c>
      <c r="B110" s="9">
        <v>44564</v>
      </c>
      <c r="C110" s="9">
        <v>44608</v>
      </c>
    </row>
    <row r="111" spans="1:3" x14ac:dyDescent="0.25">
      <c r="A111" t="s">
        <v>527</v>
      </c>
      <c r="B111" s="9">
        <v>44564</v>
      </c>
      <c r="C111" s="9">
        <v>44568</v>
      </c>
    </row>
    <row r="112" spans="1:3" x14ac:dyDescent="0.25">
      <c r="A112" t="s">
        <v>528</v>
      </c>
      <c r="B112" s="9">
        <v>44602</v>
      </c>
      <c r="C112" s="9">
        <v>44608</v>
      </c>
    </row>
    <row r="113" spans="1:3" x14ac:dyDescent="0.25">
      <c r="A113" t="s">
        <v>296</v>
      </c>
      <c r="B113" s="9">
        <v>44564</v>
      </c>
      <c r="C113" s="9">
        <v>44615</v>
      </c>
    </row>
    <row r="114" spans="1:3" x14ac:dyDescent="0.25">
      <c r="A114" t="s">
        <v>529</v>
      </c>
      <c r="B114" s="9">
        <v>44564</v>
      </c>
      <c r="C114" s="9">
        <v>44568</v>
      </c>
    </row>
    <row r="115" spans="1:3" x14ac:dyDescent="0.25">
      <c r="A115" t="s">
        <v>530</v>
      </c>
      <c r="B115" s="9">
        <v>44609</v>
      </c>
      <c r="C115" s="9">
        <v>44615</v>
      </c>
    </row>
    <row r="116" spans="1:3" x14ac:dyDescent="0.25">
      <c r="A116" t="s">
        <v>302</v>
      </c>
      <c r="B116" s="9">
        <v>44571</v>
      </c>
      <c r="C116" s="9">
        <v>44622</v>
      </c>
    </row>
    <row r="117" spans="1:3" x14ac:dyDescent="0.25">
      <c r="A117" t="s">
        <v>531</v>
      </c>
      <c r="B117" s="9">
        <v>44571</v>
      </c>
      <c r="C117" s="9">
        <v>44575</v>
      </c>
    </row>
    <row r="118" spans="1:3" x14ac:dyDescent="0.25">
      <c r="A118" t="s">
        <v>532</v>
      </c>
      <c r="B118" s="9">
        <v>44616</v>
      </c>
      <c r="C118" s="9">
        <v>44622</v>
      </c>
    </row>
    <row r="119" spans="1:3" x14ac:dyDescent="0.25">
      <c r="A119" t="s">
        <v>308</v>
      </c>
      <c r="B119" s="9">
        <v>44571</v>
      </c>
      <c r="C119" s="9">
        <v>44629</v>
      </c>
    </row>
    <row r="120" spans="1:3" x14ac:dyDescent="0.25">
      <c r="A120" t="s">
        <v>533</v>
      </c>
      <c r="B120" s="9">
        <v>44571</v>
      </c>
      <c r="C120" s="9">
        <v>44575</v>
      </c>
    </row>
    <row r="121" spans="1:3" x14ac:dyDescent="0.25">
      <c r="A121" t="s">
        <v>534</v>
      </c>
      <c r="B121" s="9">
        <v>44623</v>
      </c>
      <c r="C121" s="9">
        <v>44629</v>
      </c>
    </row>
    <row r="122" spans="1:3" x14ac:dyDescent="0.25">
      <c r="A122" t="s">
        <v>314</v>
      </c>
      <c r="B122" s="9">
        <v>44578</v>
      </c>
      <c r="C122" s="9">
        <v>44636</v>
      </c>
    </row>
    <row r="123" spans="1:3" x14ac:dyDescent="0.25">
      <c r="A123" t="s">
        <v>535</v>
      </c>
      <c r="B123" s="9">
        <v>44578</v>
      </c>
      <c r="C123" s="9">
        <v>44582</v>
      </c>
    </row>
    <row r="124" spans="1:3" x14ac:dyDescent="0.25">
      <c r="A124" t="s">
        <v>536</v>
      </c>
      <c r="B124" s="9">
        <v>44630</v>
      </c>
      <c r="C124" s="9">
        <v>44636</v>
      </c>
    </row>
    <row r="125" spans="1:3" x14ac:dyDescent="0.25">
      <c r="A125" t="s">
        <v>320</v>
      </c>
      <c r="B125" s="9">
        <v>44578</v>
      </c>
      <c r="C125" s="9">
        <v>44643</v>
      </c>
    </row>
    <row r="126" spans="1:3" x14ac:dyDescent="0.25">
      <c r="A126" t="s">
        <v>537</v>
      </c>
      <c r="B126" s="9">
        <v>44578</v>
      </c>
      <c r="C126" s="9">
        <v>44582</v>
      </c>
    </row>
    <row r="127" spans="1:3" x14ac:dyDescent="0.25">
      <c r="A127" t="s">
        <v>538</v>
      </c>
      <c r="B127" s="9">
        <v>44637</v>
      </c>
      <c r="C127" s="9">
        <v>44643</v>
      </c>
    </row>
  </sheetData>
  <customSheetViews>
    <customSheetView guid="{28BE6562-61BE-42C3-B697-462A6F62428C}">
      <selection activeCell="C142" sqref="C142"/>
      <pageMargins left="0.511811024" right="0.511811024" top="0.78740157499999996" bottom="0.78740157499999996" header="0.31496062000000002" footer="0.31496062000000002"/>
    </customSheetView>
    <customSheetView guid="{00F68F5D-E7EC-4A9D-A8F7-19E9173D4D0E}">
      <selection activeCell="C142" sqref="C142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A0F9-F837-4084-B000-611CE4E25D61}">
  <sheetPr>
    <tabColor theme="8" tint="0.39997558519241921"/>
  </sheetPr>
  <dimension ref="A2:L40"/>
  <sheetViews>
    <sheetView zoomScale="115" zoomScaleNormal="115" workbookViewId="0">
      <selection activeCell="E21" activeCellId="1" sqref="J23 E21"/>
    </sheetView>
  </sheetViews>
  <sheetFormatPr defaultRowHeight="15" x14ac:dyDescent="0.25"/>
  <cols>
    <col min="1" max="1" width="18" bestFit="1" customWidth="1"/>
    <col min="2" max="2" width="20.28515625" style="12" customWidth="1"/>
    <col min="4" max="4" width="19.5703125" style="33" bestFit="1" customWidth="1"/>
    <col min="5" max="5" width="28.140625" style="1" bestFit="1" customWidth="1"/>
    <col min="9" max="9" width="19.5703125" style="33" bestFit="1" customWidth="1"/>
    <col min="10" max="10" width="24.140625" style="1" bestFit="1" customWidth="1"/>
    <col min="12" max="12" width="15.85546875" style="33" bestFit="1" customWidth="1"/>
  </cols>
  <sheetData>
    <row r="2" spans="1:10" x14ac:dyDescent="0.25">
      <c r="A2" t="s">
        <v>346</v>
      </c>
      <c r="D2" s="33" t="s">
        <v>347</v>
      </c>
      <c r="I2" s="33" t="s">
        <v>348</v>
      </c>
    </row>
    <row r="3" spans="1:10" x14ac:dyDescent="0.25">
      <c r="A3" s="29" t="s">
        <v>343</v>
      </c>
      <c r="B3" t="s">
        <v>345</v>
      </c>
      <c r="D3" s="31" t="s">
        <v>343</v>
      </c>
      <c r="E3" s="1" t="s">
        <v>349</v>
      </c>
      <c r="I3" s="31" t="s">
        <v>343</v>
      </c>
      <c r="J3" s="1" t="s">
        <v>350</v>
      </c>
    </row>
    <row r="4" spans="1:10" x14ac:dyDescent="0.25">
      <c r="A4" s="30">
        <v>1</v>
      </c>
      <c r="B4" s="13">
        <v>2720.55</v>
      </c>
      <c r="D4" s="192">
        <v>0</v>
      </c>
      <c r="E4" s="1">
        <v>0</v>
      </c>
      <c r="I4" s="192">
        <v>0</v>
      </c>
      <c r="J4" s="1">
        <v>0</v>
      </c>
    </row>
    <row r="5" spans="1:10" x14ac:dyDescent="0.25">
      <c r="A5" s="30">
        <v>3</v>
      </c>
      <c r="B5" s="13">
        <v>34356.19</v>
      </c>
      <c r="D5" s="192">
        <v>1</v>
      </c>
      <c r="E5" s="1">
        <v>2720.55</v>
      </c>
      <c r="I5" s="192">
        <v>19</v>
      </c>
      <c r="J5" s="1">
        <v>0</v>
      </c>
    </row>
    <row r="6" spans="1:10" x14ac:dyDescent="0.25">
      <c r="A6" s="30">
        <v>4</v>
      </c>
      <c r="B6" s="13">
        <v>70046.69</v>
      </c>
      <c r="D6" s="192">
        <v>4</v>
      </c>
      <c r="E6" s="1">
        <v>34356.19</v>
      </c>
      <c r="I6" s="192">
        <v>21</v>
      </c>
      <c r="J6" s="1">
        <v>36446.869999999995</v>
      </c>
    </row>
    <row r="7" spans="1:10" x14ac:dyDescent="0.25">
      <c r="A7" s="30">
        <v>5</v>
      </c>
      <c r="B7" s="13">
        <v>350</v>
      </c>
      <c r="D7" s="192">
        <v>5</v>
      </c>
      <c r="E7" s="1">
        <v>70046.69</v>
      </c>
      <c r="I7" s="192">
        <v>22</v>
      </c>
      <c r="J7" s="1">
        <v>47174.679999999993</v>
      </c>
    </row>
    <row r="8" spans="1:10" x14ac:dyDescent="0.25">
      <c r="A8" s="30">
        <v>6</v>
      </c>
      <c r="B8" s="13">
        <v>34912.21</v>
      </c>
      <c r="D8" s="192">
        <v>6</v>
      </c>
      <c r="E8" s="1">
        <v>35262.21</v>
      </c>
      <c r="I8" s="192">
        <v>23</v>
      </c>
      <c r="J8" s="1">
        <v>53989.52</v>
      </c>
    </row>
    <row r="9" spans="1:10" x14ac:dyDescent="0.25">
      <c r="A9" s="30">
        <v>7</v>
      </c>
      <c r="B9" s="13">
        <v>96573.61</v>
      </c>
      <c r="D9" s="192">
        <v>8</v>
      </c>
      <c r="E9" s="1">
        <v>96573.61</v>
      </c>
      <c r="I9" s="192">
        <v>24</v>
      </c>
      <c r="J9" s="1">
        <v>27486.01</v>
      </c>
    </row>
    <row r="10" spans="1:10" x14ac:dyDescent="0.25">
      <c r="A10" s="30">
        <v>8</v>
      </c>
      <c r="B10" s="13">
        <v>64892.03</v>
      </c>
      <c r="D10" s="192">
        <v>9</v>
      </c>
      <c r="E10" s="1">
        <v>64892.03</v>
      </c>
      <c r="I10" s="192">
        <v>25</v>
      </c>
      <c r="J10" s="1">
        <v>80246.94</v>
      </c>
    </row>
    <row r="11" spans="1:10" x14ac:dyDescent="0.25">
      <c r="A11" s="30">
        <v>9</v>
      </c>
      <c r="B11" s="13">
        <v>96851.74</v>
      </c>
      <c r="D11" s="192">
        <v>10</v>
      </c>
      <c r="E11" s="1">
        <v>96851.74</v>
      </c>
      <c r="I11" s="192">
        <v>26</v>
      </c>
      <c r="J11" s="1">
        <v>38445.800000000003</v>
      </c>
    </row>
    <row r="12" spans="1:10" x14ac:dyDescent="0.25">
      <c r="A12" s="30">
        <v>10</v>
      </c>
      <c r="B12" s="13">
        <v>64892.03</v>
      </c>
      <c r="D12" s="192">
        <v>11</v>
      </c>
      <c r="E12" s="1">
        <v>64892.03</v>
      </c>
      <c r="I12" s="192">
        <v>27</v>
      </c>
      <c r="J12" s="1">
        <v>40205.910000000003</v>
      </c>
    </row>
    <row r="13" spans="1:10" x14ac:dyDescent="0.25">
      <c r="A13" s="30">
        <v>11</v>
      </c>
      <c r="B13" s="13">
        <v>96851.74</v>
      </c>
      <c r="D13" s="192">
        <v>12</v>
      </c>
      <c r="E13" s="1">
        <v>96851.74</v>
      </c>
      <c r="I13" s="192">
        <v>28</v>
      </c>
      <c r="J13" s="1">
        <v>20932.910000000003</v>
      </c>
    </row>
    <row r="14" spans="1:10" x14ac:dyDescent="0.25">
      <c r="A14" s="30">
        <v>12</v>
      </c>
      <c r="B14" s="13">
        <v>78347.92</v>
      </c>
      <c r="D14" s="192">
        <v>13</v>
      </c>
      <c r="E14" s="1">
        <v>64892.03</v>
      </c>
      <c r="I14" s="192">
        <v>29</v>
      </c>
      <c r="J14" s="1">
        <v>34286.5</v>
      </c>
    </row>
    <row r="15" spans="1:10" x14ac:dyDescent="0.25">
      <c r="A15" s="30">
        <v>13</v>
      </c>
      <c r="B15" s="13">
        <v>110307.63</v>
      </c>
      <c r="D15" s="192">
        <v>14</v>
      </c>
      <c r="E15" s="1">
        <v>111291.77</v>
      </c>
      <c r="I15" s="192">
        <v>30</v>
      </c>
      <c r="J15" s="1">
        <v>26920.059999999998</v>
      </c>
    </row>
    <row r="16" spans="1:10" x14ac:dyDescent="0.25">
      <c r="A16" s="30">
        <v>14</v>
      </c>
      <c r="B16" s="13">
        <v>82628.069999999992</v>
      </c>
      <c r="D16" s="192">
        <v>15</v>
      </c>
      <c r="E16" s="1">
        <v>82628.069999999992</v>
      </c>
      <c r="I16" s="192">
        <v>31</v>
      </c>
      <c r="J16" s="1">
        <v>54386.579999999994</v>
      </c>
    </row>
    <row r="17" spans="1:12" x14ac:dyDescent="0.25">
      <c r="A17" s="30">
        <v>15</v>
      </c>
      <c r="B17" s="13">
        <v>34692.869999999995</v>
      </c>
      <c r="D17" s="192">
        <v>16</v>
      </c>
      <c r="E17" s="1">
        <v>34692.869999999995</v>
      </c>
      <c r="I17" s="192">
        <v>32</v>
      </c>
      <c r="J17" s="1">
        <v>53714.880000000005</v>
      </c>
    </row>
    <row r="18" spans="1:12" x14ac:dyDescent="0.25">
      <c r="A18" s="30">
        <v>16</v>
      </c>
      <c r="B18" s="13">
        <v>15022.779999999999</v>
      </c>
      <c r="D18" s="192">
        <v>17</v>
      </c>
      <c r="E18" s="1">
        <v>14440.029999999999</v>
      </c>
      <c r="I18" s="192">
        <v>33</v>
      </c>
      <c r="J18" s="1">
        <v>26251.34</v>
      </c>
    </row>
    <row r="19" spans="1:12" x14ac:dyDescent="0.25">
      <c r="A19" s="30">
        <v>17</v>
      </c>
      <c r="B19" s="13">
        <v>16834.560000000001</v>
      </c>
      <c r="D19" s="192">
        <v>18</v>
      </c>
      <c r="E19" s="1">
        <v>51093.03</v>
      </c>
      <c r="I19" s="192">
        <v>34</v>
      </c>
      <c r="J19" s="1">
        <v>17358.64</v>
      </c>
    </row>
    <row r="20" spans="1:12" x14ac:dyDescent="0.25">
      <c r="A20" s="30">
        <v>18</v>
      </c>
      <c r="B20" s="13">
        <v>63707.43</v>
      </c>
      <c r="D20" s="192">
        <v>19</v>
      </c>
      <c r="E20" s="1">
        <v>16411</v>
      </c>
      <c r="I20" s="192">
        <v>35</v>
      </c>
      <c r="J20" s="1">
        <v>17358.64</v>
      </c>
    </row>
    <row r="21" spans="1:12" x14ac:dyDescent="0.25">
      <c r="A21" s="30">
        <v>19</v>
      </c>
      <c r="B21" s="13">
        <v>30296.55</v>
      </c>
      <c r="D21" s="32" t="s">
        <v>344</v>
      </c>
      <c r="E21" s="1">
        <v>937895.59000000008</v>
      </c>
      <c r="I21" s="192">
        <v>36</v>
      </c>
      <c r="J21" s="1">
        <v>17358.64</v>
      </c>
    </row>
    <row r="22" spans="1:12" x14ac:dyDescent="0.25">
      <c r="A22" s="30">
        <v>20</v>
      </c>
      <c r="B22" s="13">
        <v>21955.75</v>
      </c>
      <c r="E22" s="226">
        <f>GETPIVOTDATA("CUSTO EXECUTADO",$D$3)/GETPIVOTDATA(" Custo ",$A$3)</f>
        <v>0.61114748683327413</v>
      </c>
      <c r="I22" s="192">
        <v>37</v>
      </c>
      <c r="J22" s="1">
        <v>4187.38</v>
      </c>
    </row>
    <row r="23" spans="1:12" x14ac:dyDescent="0.25">
      <c r="A23" s="30">
        <v>21</v>
      </c>
      <c r="B23" s="13">
        <v>31780.3</v>
      </c>
      <c r="I23" s="192" t="s">
        <v>344</v>
      </c>
      <c r="J23" s="1">
        <v>596751.30000000005</v>
      </c>
    </row>
    <row r="24" spans="1:12" x14ac:dyDescent="0.25">
      <c r="A24" s="30">
        <v>22</v>
      </c>
      <c r="B24" s="13">
        <v>27486.01</v>
      </c>
      <c r="I24"/>
      <c r="J24"/>
      <c r="L24" s="33">
        <f>GETPIVOTDATA("CUSTO REPLAN",$I$3)+GETPIVOTDATA("CUSTO EXECUTADO",$D$3)</f>
        <v>1534646.8900000001</v>
      </c>
    </row>
    <row r="25" spans="1:12" x14ac:dyDescent="0.25">
      <c r="A25" s="30">
        <v>23</v>
      </c>
      <c r="B25" s="13">
        <v>53986.01</v>
      </c>
      <c r="I25"/>
      <c r="J25"/>
      <c r="L25" s="33">
        <f>GETPIVOTDATA(" Custo ",$A$3)-L24</f>
        <v>0</v>
      </c>
    </row>
    <row r="26" spans="1:12" x14ac:dyDescent="0.25">
      <c r="A26" s="30">
        <v>24</v>
      </c>
      <c r="B26" s="13">
        <v>58881.460000000006</v>
      </c>
    </row>
    <row r="27" spans="1:12" x14ac:dyDescent="0.25">
      <c r="A27" s="30">
        <v>25</v>
      </c>
      <c r="B27" s="13">
        <v>40743.29</v>
      </c>
    </row>
    <row r="28" spans="1:12" x14ac:dyDescent="0.25">
      <c r="A28" s="30">
        <v>26</v>
      </c>
      <c r="B28" s="13">
        <v>37549.31</v>
      </c>
    </row>
    <row r="29" spans="1:12" x14ac:dyDescent="0.25">
      <c r="A29" s="30">
        <v>27</v>
      </c>
      <c r="B29" s="13">
        <v>20123.34</v>
      </c>
    </row>
    <row r="30" spans="1:12" x14ac:dyDescent="0.25">
      <c r="A30" s="30">
        <v>28</v>
      </c>
      <c r="B30" s="13">
        <v>30598.17</v>
      </c>
    </row>
    <row r="31" spans="1:12" x14ac:dyDescent="0.25">
      <c r="A31" s="30">
        <v>29</v>
      </c>
      <c r="B31" s="13">
        <v>37506.590000000004</v>
      </c>
    </row>
    <row r="32" spans="1:12" x14ac:dyDescent="0.25">
      <c r="A32" s="30">
        <v>30</v>
      </c>
      <c r="B32" s="13">
        <v>36641.159999999996</v>
      </c>
    </row>
    <row r="33" spans="1:2" x14ac:dyDescent="0.25">
      <c r="A33" s="30">
        <v>31</v>
      </c>
      <c r="B33" s="13">
        <v>50488.31</v>
      </c>
    </row>
    <row r="34" spans="1:2" x14ac:dyDescent="0.25">
      <c r="A34" s="30">
        <v>32</v>
      </c>
      <c r="B34" s="13">
        <v>33770.39</v>
      </c>
    </row>
    <row r="35" spans="1:2" x14ac:dyDescent="0.25">
      <c r="A35" s="30">
        <v>33</v>
      </c>
      <c r="B35" s="13">
        <v>26251.34</v>
      </c>
    </row>
    <row r="36" spans="1:2" x14ac:dyDescent="0.25">
      <c r="A36" s="30">
        <v>34</v>
      </c>
      <c r="B36" s="13">
        <v>19538.72</v>
      </c>
    </row>
    <row r="37" spans="1:2" x14ac:dyDescent="0.25">
      <c r="A37" s="30">
        <v>35</v>
      </c>
      <c r="B37" s="13">
        <v>3687.38</v>
      </c>
    </row>
    <row r="38" spans="1:2" x14ac:dyDescent="0.25">
      <c r="A38" s="30">
        <v>36</v>
      </c>
      <c r="B38" s="13">
        <v>4687.38</v>
      </c>
    </row>
    <row r="39" spans="1:2" x14ac:dyDescent="0.25">
      <c r="A39" s="30">
        <v>37</v>
      </c>
      <c r="B39" s="13">
        <v>4687.38</v>
      </c>
    </row>
    <row r="40" spans="1:2" x14ac:dyDescent="0.25">
      <c r="A40" s="30" t="s">
        <v>344</v>
      </c>
      <c r="B40" s="193">
        <v>1534646.89</v>
      </c>
    </row>
  </sheetData>
  <customSheetViews>
    <customSheetView guid="{28BE6562-61BE-42C3-B697-462A6F62428C}">
      <selection activeCell="D20" sqref="D4:D20"/>
      <pageMargins left="0.511811024" right="0.511811024" top="0.78740157499999996" bottom="0.78740157499999996" header="0.31496062000000002" footer="0.31496062000000002"/>
    </customSheetView>
    <customSheetView guid="{00F68F5D-E7EC-4A9D-A8F7-19E9173D4D0E}">
      <selection activeCell="D20" sqref="D4:D20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9A3F-8255-4B3C-92E0-2B37A0C89665}">
  <sheetPr>
    <tabColor theme="8" tint="0.39997558519241921"/>
  </sheetPr>
  <dimension ref="A1:P40"/>
  <sheetViews>
    <sheetView topLeftCell="K1" zoomScaleNormal="100" workbookViewId="0">
      <selection activeCell="B22" sqref="B22"/>
    </sheetView>
  </sheetViews>
  <sheetFormatPr defaultRowHeight="15" x14ac:dyDescent="0.25"/>
  <cols>
    <col min="1" max="1" width="17.140625" style="2" customWidth="1"/>
    <col min="2" max="2" width="12.7109375" style="2" customWidth="1"/>
    <col min="3" max="3" width="15.42578125" style="2" customWidth="1"/>
    <col min="4" max="4" width="17.7109375" style="2" customWidth="1"/>
    <col min="5" max="5" width="13.28515625" style="34" customWidth="1"/>
    <col min="6" max="6" width="17.7109375" style="2" customWidth="1"/>
    <col min="7" max="7" width="12.85546875" style="2" customWidth="1"/>
    <col min="8" max="8" width="15" style="2" customWidth="1"/>
    <col min="9" max="9" width="12.85546875" style="2" customWidth="1"/>
    <col min="10" max="10" width="21.28515625" style="2" customWidth="1"/>
    <col min="11" max="11" width="13.85546875" customWidth="1"/>
    <col min="12" max="12" width="16.140625" customWidth="1"/>
    <col min="13" max="13" width="12.28515625" customWidth="1"/>
    <col min="14" max="14" width="16.42578125" customWidth="1"/>
    <col min="15" max="15" width="16.42578125" style="73" customWidth="1"/>
    <col min="16" max="16" width="17.85546875" customWidth="1"/>
  </cols>
  <sheetData>
    <row r="1" spans="1:15" x14ac:dyDescent="0.25">
      <c r="A1" s="61" t="s">
        <v>359</v>
      </c>
      <c r="B1" s="67">
        <v>44561</v>
      </c>
      <c r="C1" s="257" t="s">
        <v>358</v>
      </c>
      <c r="D1" s="258"/>
      <c r="E1" s="258"/>
      <c r="F1" s="259"/>
      <c r="G1" s="260" t="s">
        <v>357</v>
      </c>
      <c r="H1" s="261"/>
      <c r="I1" s="261"/>
      <c r="J1" s="262"/>
      <c r="K1" s="263" t="s">
        <v>356</v>
      </c>
      <c r="L1" s="264"/>
      <c r="M1" s="264"/>
      <c r="N1" s="265"/>
      <c r="O1" s="266" t="s">
        <v>376</v>
      </c>
    </row>
    <row r="2" spans="1:15" x14ac:dyDescent="0.25">
      <c r="A2" s="60"/>
      <c r="B2" s="60" t="s">
        <v>355</v>
      </c>
      <c r="C2" s="4" t="s">
        <v>354</v>
      </c>
      <c r="D2" s="4" t="s">
        <v>353</v>
      </c>
      <c r="E2" s="59" t="s">
        <v>352</v>
      </c>
      <c r="F2" s="58" t="s">
        <v>351</v>
      </c>
      <c r="G2" s="5" t="s">
        <v>354</v>
      </c>
      <c r="H2" s="57" t="s">
        <v>353</v>
      </c>
      <c r="I2" s="57" t="s">
        <v>352</v>
      </c>
      <c r="J2" s="56" t="s">
        <v>351</v>
      </c>
      <c r="K2" s="55" t="s">
        <v>354</v>
      </c>
      <c r="L2" s="54" t="s">
        <v>353</v>
      </c>
      <c r="M2" s="54" t="s">
        <v>352</v>
      </c>
      <c r="N2" s="53" t="s">
        <v>351</v>
      </c>
      <c r="O2" s="267"/>
    </row>
    <row r="3" spans="1:15" x14ac:dyDescent="0.25">
      <c r="A3" s="174"/>
      <c r="B3" s="227">
        <v>1</v>
      </c>
      <c r="C3" s="175">
        <v>2720.5459262193999</v>
      </c>
      <c r="D3" s="175">
        <v>2720.5459262193999</v>
      </c>
      <c r="E3" s="183">
        <f t="shared" ref="E3:E39" si="0">C3/$C$40</f>
        <v>1.7727504369912529E-3</v>
      </c>
      <c r="F3" s="51">
        <f t="shared" ref="F3:F39" si="1">D3/$C$40</f>
        <v>1.7727504369912529E-3</v>
      </c>
      <c r="G3" s="175">
        <f>IFERROR(VLOOKUP(B3,'TD - curva s'!$D$4:$E$100,2,0),0)</f>
        <v>2720.55</v>
      </c>
      <c r="H3" s="176">
        <f>G3</f>
        <v>2720.55</v>
      </c>
      <c r="I3" s="52">
        <f>G3/$C$40</f>
        <v>1.7727530915306487E-3</v>
      </c>
      <c r="J3" s="186">
        <f t="shared" ref="J3:J22" si="2">H3/$C$40</f>
        <v>1.7727530915306487E-3</v>
      </c>
      <c r="K3" s="49"/>
      <c r="L3" s="48"/>
      <c r="M3" s="48"/>
      <c r="N3" s="47"/>
      <c r="O3" s="50">
        <f>J3/F3</f>
        <v>1.000001497412913</v>
      </c>
    </row>
    <row r="4" spans="1:15" x14ac:dyDescent="0.25">
      <c r="A4" s="177"/>
      <c r="B4" s="228">
        <v>2</v>
      </c>
      <c r="C4" s="178">
        <v>0</v>
      </c>
      <c r="D4" s="178">
        <v>2720.5459262193999</v>
      </c>
      <c r="E4" s="184">
        <f t="shared" si="0"/>
        <v>0</v>
      </c>
      <c r="F4" s="41">
        <f t="shared" si="1"/>
        <v>1.7727504369912529E-3</v>
      </c>
      <c r="G4" s="178">
        <f>IFERROR(VLOOKUP(B4,'TD - curva s'!$D$4:$E$100,2,0),0)</f>
        <v>0</v>
      </c>
      <c r="H4" s="179">
        <f>+H3+G4</f>
        <v>2720.55</v>
      </c>
      <c r="I4" s="42">
        <f t="shared" ref="I4:I22" si="3">G4/$C$40</f>
        <v>0</v>
      </c>
      <c r="J4" s="46">
        <f t="shared" si="2"/>
        <v>1.7727530915306487E-3</v>
      </c>
      <c r="K4" s="38"/>
      <c r="L4" s="37"/>
      <c r="M4" s="37"/>
      <c r="N4" s="36"/>
      <c r="O4" s="45">
        <f t="shared" ref="O4:O22" si="4">J4/F4</f>
        <v>1.000001497412913</v>
      </c>
    </row>
    <row r="5" spans="1:15" x14ac:dyDescent="0.25">
      <c r="A5" s="177"/>
      <c r="B5" s="228">
        <v>3</v>
      </c>
      <c r="C5" s="178">
        <v>34356.18841814006</v>
      </c>
      <c r="D5" s="178">
        <v>37076.734344359458</v>
      </c>
      <c r="E5" s="184">
        <f t="shared" si="0"/>
        <v>2.2387031751472039E-2</v>
      </c>
      <c r="F5" s="41">
        <f t="shared" si="1"/>
        <v>2.4159782188463288E-2</v>
      </c>
      <c r="G5" s="178">
        <f>IFERROR(VLOOKUP(B5,'TD - curva s'!$D$4:$E$100,2,0),0)</f>
        <v>0</v>
      </c>
      <c r="H5" s="179">
        <f t="shared" ref="H5:H22" si="5">+H4+G5</f>
        <v>2720.55</v>
      </c>
      <c r="I5" s="42">
        <f t="shared" si="3"/>
        <v>0</v>
      </c>
      <c r="J5" s="46">
        <f t="shared" si="2"/>
        <v>1.7727530915306487E-3</v>
      </c>
      <c r="K5" s="38"/>
      <c r="L5" s="37"/>
      <c r="M5" s="37"/>
      <c r="N5" s="36"/>
      <c r="O5" s="45">
        <f t="shared" si="4"/>
        <v>7.3376203382212971E-2</v>
      </c>
    </row>
    <row r="6" spans="1:15" x14ac:dyDescent="0.25">
      <c r="A6" s="177"/>
      <c r="B6" s="228">
        <v>4</v>
      </c>
      <c r="C6" s="178">
        <v>70046.687361552293</v>
      </c>
      <c r="D6" s="178">
        <v>107123.42170591175</v>
      </c>
      <c r="E6" s="184">
        <f t="shared" si="0"/>
        <v>4.5643521189345032E-2</v>
      </c>
      <c r="F6" s="41">
        <f t="shared" si="1"/>
        <v>6.9803303377808323E-2</v>
      </c>
      <c r="G6" s="178">
        <f>IFERROR(VLOOKUP(B6,'TD - curva s'!$D$4:$E$100,2,0),0)</f>
        <v>34356.19</v>
      </c>
      <c r="H6" s="179">
        <f t="shared" si="5"/>
        <v>37076.740000000005</v>
      </c>
      <c r="I6" s="42">
        <f t="shared" si="3"/>
        <v>2.2387032782236811E-2</v>
      </c>
      <c r="J6" s="46">
        <f t="shared" si="2"/>
        <v>2.4159785873767461E-2</v>
      </c>
      <c r="K6" s="38"/>
      <c r="L6" s="37"/>
      <c r="M6" s="37"/>
      <c r="N6" s="36"/>
      <c r="O6" s="45">
        <f t="shared" si="4"/>
        <v>0.34611235721901773</v>
      </c>
    </row>
    <row r="7" spans="1:15" x14ac:dyDescent="0.25">
      <c r="A7" s="177"/>
      <c r="B7" s="228">
        <v>5</v>
      </c>
      <c r="C7" s="178">
        <v>350</v>
      </c>
      <c r="D7" s="178">
        <v>107473.42170591175</v>
      </c>
      <c r="E7" s="184">
        <f t="shared" si="0"/>
        <v>2.2806549485792469E-4</v>
      </c>
      <c r="F7" s="41">
        <f t="shared" si="1"/>
        <v>7.0031368872666241E-2</v>
      </c>
      <c r="G7" s="178">
        <f>IFERROR(VLOOKUP(B7,'TD - curva s'!$D$4:$E$100,2,0),0)</f>
        <v>70046.69</v>
      </c>
      <c r="H7" s="179">
        <f t="shared" si="5"/>
        <v>107123.43000000001</v>
      </c>
      <c r="I7" s="42">
        <f t="shared" si="3"/>
        <v>4.5643522908598987E-2</v>
      </c>
      <c r="J7" s="46">
        <f t="shared" si="2"/>
        <v>6.9803308782366444E-2</v>
      </c>
      <c r="K7" s="38"/>
      <c r="L7" s="37"/>
      <c r="M7" s="37"/>
      <c r="N7" s="36"/>
      <c r="O7" s="45">
        <f t="shared" si="4"/>
        <v>0.99674345805356934</v>
      </c>
    </row>
    <row r="8" spans="1:15" x14ac:dyDescent="0.25">
      <c r="A8" s="177"/>
      <c r="B8" s="228">
        <v>6</v>
      </c>
      <c r="C8" s="178">
        <v>34912.205951910706</v>
      </c>
      <c r="D8" s="178">
        <v>142385.62765782245</v>
      </c>
      <c r="E8" s="184">
        <f t="shared" si="0"/>
        <v>2.2749341505726568E-2</v>
      </c>
      <c r="F8" s="41">
        <f t="shared" si="1"/>
        <v>9.2780710378392806E-2</v>
      </c>
      <c r="G8" s="178">
        <f>IFERROR(VLOOKUP(B8,'TD - curva s'!$D$4:$E$100,2,0),0)</f>
        <v>35262.21</v>
      </c>
      <c r="H8" s="179">
        <f t="shared" si="5"/>
        <v>142385.64000000001</v>
      </c>
      <c r="I8" s="42">
        <f t="shared" si="3"/>
        <v>2.2977409638383028E-2</v>
      </c>
      <c r="J8" s="46">
        <f t="shared" si="2"/>
        <v>9.2780718420749475E-2</v>
      </c>
      <c r="K8" s="38"/>
      <c r="L8" s="37"/>
      <c r="M8" s="37"/>
      <c r="N8" s="36"/>
      <c r="O8" s="45">
        <f t="shared" si="4"/>
        <v>1.0000000866813439</v>
      </c>
    </row>
    <row r="9" spans="1:15" x14ac:dyDescent="0.25">
      <c r="A9" s="177"/>
      <c r="B9" s="228">
        <v>7</v>
      </c>
      <c r="C9" s="178">
        <v>96573.613517122591</v>
      </c>
      <c r="D9" s="178">
        <v>238959.24117494503</v>
      </c>
      <c r="E9" s="184">
        <f t="shared" si="0"/>
        <v>6.292888273428722E-2</v>
      </c>
      <c r="F9" s="41">
        <f t="shared" si="1"/>
        <v>0.15570959311268001</v>
      </c>
      <c r="G9" s="178">
        <f>IFERROR(VLOOKUP(B9,'TD - curva s'!$D$4:$E$100,2,0),0)</f>
        <v>0</v>
      </c>
      <c r="H9" s="179">
        <f t="shared" si="5"/>
        <v>142385.64000000001</v>
      </c>
      <c r="I9" s="42">
        <f t="shared" si="3"/>
        <v>0</v>
      </c>
      <c r="J9" s="46">
        <f t="shared" si="2"/>
        <v>9.2780718420749475E-2</v>
      </c>
      <c r="K9" s="38"/>
      <c r="L9" s="37"/>
      <c r="M9" s="37"/>
      <c r="N9" s="36"/>
      <c r="O9" s="45">
        <f t="shared" si="4"/>
        <v>0.59585743284043036</v>
      </c>
    </row>
    <row r="10" spans="1:15" x14ac:dyDescent="0.25">
      <c r="A10" s="177"/>
      <c r="B10" s="228">
        <v>8</v>
      </c>
      <c r="C10" s="178">
        <v>64892.027752599941</v>
      </c>
      <c r="D10" s="178">
        <v>303851.26892754494</v>
      </c>
      <c r="E10" s="184">
        <f t="shared" si="0"/>
        <v>4.2284664062088251E-2</v>
      </c>
      <c r="F10" s="41">
        <f t="shared" si="1"/>
        <v>0.19799425717476826</v>
      </c>
      <c r="G10" s="178">
        <f>IFERROR(VLOOKUP(B10,'TD - curva s'!$D$4:$E$100,2,0),0)</f>
        <v>96573.61</v>
      </c>
      <c r="H10" s="179">
        <f t="shared" si="5"/>
        <v>238959.25</v>
      </c>
      <c r="I10" s="42">
        <f t="shared" si="3"/>
        <v>6.2928880442474924E-2</v>
      </c>
      <c r="J10" s="46">
        <f t="shared" si="2"/>
        <v>0.15570959886322439</v>
      </c>
      <c r="K10" s="38"/>
      <c r="L10" s="37"/>
      <c r="M10" s="37"/>
      <c r="N10" s="36"/>
      <c r="O10" s="45">
        <f t="shared" si="4"/>
        <v>0.78643492536139836</v>
      </c>
    </row>
    <row r="11" spans="1:15" x14ac:dyDescent="0.25">
      <c r="A11" s="177"/>
      <c r="B11" s="228">
        <v>9</v>
      </c>
      <c r="C11" s="178">
        <v>96851.739793091605</v>
      </c>
      <c r="D11" s="178">
        <v>400703.00872063654</v>
      </c>
      <c r="E11" s="184">
        <f t="shared" si="0"/>
        <v>6.3110114182178267E-2</v>
      </c>
      <c r="F11" s="41">
        <f t="shared" si="1"/>
        <v>0.26110437135694653</v>
      </c>
      <c r="G11" s="178">
        <f>IFERROR(VLOOKUP(B11,'TD - curva s'!$D$4:$E$100,2,0),0)</f>
        <v>64892.03</v>
      </c>
      <c r="H11" s="179">
        <f t="shared" si="5"/>
        <v>303851.28000000003</v>
      </c>
      <c r="I11" s="42">
        <f t="shared" si="3"/>
        <v>4.2284665526529409E-2</v>
      </c>
      <c r="J11" s="46">
        <f t="shared" si="2"/>
        <v>0.19799426438975382</v>
      </c>
      <c r="K11" s="38"/>
      <c r="L11" s="37"/>
      <c r="M11" s="37"/>
      <c r="N11" s="36"/>
      <c r="O11" s="45">
        <f t="shared" si="4"/>
        <v>0.75829547916332229</v>
      </c>
    </row>
    <row r="12" spans="1:15" x14ac:dyDescent="0.25">
      <c r="A12" s="177"/>
      <c r="B12" s="228">
        <v>10</v>
      </c>
      <c r="C12" s="178">
        <v>64892.027752599941</v>
      </c>
      <c r="D12" s="178">
        <v>465595.03647323651</v>
      </c>
      <c r="E12" s="184">
        <f t="shared" si="0"/>
        <v>4.2284664062088251E-2</v>
      </c>
      <c r="F12" s="41">
        <f t="shared" si="1"/>
        <v>0.30338903541903478</v>
      </c>
      <c r="G12" s="178">
        <f>IFERROR(VLOOKUP(B12,'TD - curva s'!$D$4:$E$100,2,0),0)</f>
        <v>96851.74</v>
      </c>
      <c r="H12" s="179">
        <f t="shared" si="5"/>
        <v>400703.02</v>
      </c>
      <c r="I12" s="42">
        <f t="shared" si="3"/>
        <v>6.311011431700303E-2</v>
      </c>
      <c r="J12" s="46">
        <f t="shared" si="2"/>
        <v>0.26110437870675685</v>
      </c>
      <c r="K12" s="38"/>
      <c r="L12" s="37"/>
      <c r="M12" s="37"/>
      <c r="N12" s="36"/>
      <c r="O12" s="45">
        <f t="shared" si="4"/>
        <v>0.86062562658576236</v>
      </c>
    </row>
    <row r="13" spans="1:15" x14ac:dyDescent="0.25">
      <c r="A13" s="177"/>
      <c r="B13" s="228">
        <v>11</v>
      </c>
      <c r="C13" s="178">
        <v>96851.739793091605</v>
      </c>
      <c r="D13" s="178">
        <v>562446.77626632806</v>
      </c>
      <c r="E13" s="184">
        <f t="shared" si="0"/>
        <v>6.3110114182178267E-2</v>
      </c>
      <c r="F13" s="41">
        <f t="shared" si="1"/>
        <v>0.36649914960121299</v>
      </c>
      <c r="G13" s="178">
        <f>IFERROR(VLOOKUP(B13,'TD - curva s'!$D$4:$E$100,2,0),0)</f>
        <v>64892.03</v>
      </c>
      <c r="H13" s="179">
        <f t="shared" si="5"/>
        <v>465595.05000000005</v>
      </c>
      <c r="I13" s="42">
        <f t="shared" si="3"/>
        <v>4.2284665526529409E-2</v>
      </c>
      <c r="J13" s="46">
        <f t="shared" si="2"/>
        <v>0.30338904423328628</v>
      </c>
      <c r="K13" s="38"/>
      <c r="L13" s="37"/>
      <c r="M13" s="37"/>
      <c r="N13" s="36"/>
      <c r="O13" s="45">
        <f t="shared" si="4"/>
        <v>0.82780286001591896</v>
      </c>
    </row>
    <row r="14" spans="1:15" x14ac:dyDescent="0.25">
      <c r="A14" s="177"/>
      <c r="B14" s="228">
        <v>12</v>
      </c>
      <c r="C14" s="178">
        <v>78347.916962718125</v>
      </c>
      <c r="D14" s="178">
        <v>640794.69322904618</v>
      </c>
      <c r="E14" s="184">
        <f t="shared" si="0"/>
        <v>5.1052732723399712E-2</v>
      </c>
      <c r="F14" s="41">
        <f t="shared" si="1"/>
        <v>0.41755188232461271</v>
      </c>
      <c r="G14" s="178">
        <f>IFERROR(VLOOKUP(B14,'TD - curva s'!$D$4:$E$100,2,0),0)</f>
        <v>96851.74</v>
      </c>
      <c r="H14" s="179">
        <f t="shared" si="5"/>
        <v>562446.79</v>
      </c>
      <c r="I14" s="42">
        <f t="shared" si="3"/>
        <v>6.311011431700303E-2</v>
      </c>
      <c r="J14" s="46">
        <f t="shared" si="2"/>
        <v>0.36649915855028931</v>
      </c>
      <c r="K14" s="38"/>
      <c r="L14" s="37"/>
      <c r="M14" s="37"/>
      <c r="N14" s="36"/>
      <c r="O14" s="45">
        <f t="shared" si="4"/>
        <v>0.87773322086323624</v>
      </c>
    </row>
    <row r="15" spans="1:15" x14ac:dyDescent="0.25">
      <c r="A15" s="177"/>
      <c r="B15" s="228">
        <v>13</v>
      </c>
      <c r="C15" s="178">
        <v>110307.62900320979</v>
      </c>
      <c r="D15" s="178">
        <v>751102.32223225594</v>
      </c>
      <c r="E15" s="184">
        <f t="shared" si="0"/>
        <v>7.1878182843489735E-2</v>
      </c>
      <c r="F15" s="41">
        <f t="shared" si="1"/>
        <v>0.48943006516810245</v>
      </c>
      <c r="G15" s="178">
        <f>IFERROR(VLOOKUP(B15,'TD - curva s'!$D$4:$E$100,2,0),0)</f>
        <v>64892.03</v>
      </c>
      <c r="H15" s="179">
        <f t="shared" si="5"/>
        <v>627338.82000000007</v>
      </c>
      <c r="I15" s="42">
        <f t="shared" si="3"/>
        <v>4.2284665526529409E-2</v>
      </c>
      <c r="J15" s="46">
        <f t="shared" si="2"/>
        <v>0.40878382407681874</v>
      </c>
      <c r="K15" s="38"/>
      <c r="L15" s="37"/>
      <c r="M15" s="37"/>
      <c r="N15" s="36"/>
      <c r="O15" s="45">
        <f t="shared" si="4"/>
        <v>0.83522417842560515</v>
      </c>
    </row>
    <row r="16" spans="1:15" x14ac:dyDescent="0.25">
      <c r="A16" s="177"/>
      <c r="B16" s="228">
        <v>14</v>
      </c>
      <c r="C16" s="178">
        <v>82628.07254104779</v>
      </c>
      <c r="D16" s="178">
        <v>833730.39477330376</v>
      </c>
      <c r="E16" s="184">
        <f t="shared" si="0"/>
        <v>5.3841749294944466E-2</v>
      </c>
      <c r="F16" s="41">
        <f t="shared" si="1"/>
        <v>0.54327181446304695</v>
      </c>
      <c r="G16" s="178">
        <f>IFERROR(VLOOKUP(B16,'TD - curva s'!$D$4:$E$100,2,0),0)</f>
        <v>111291.77</v>
      </c>
      <c r="H16" s="179">
        <f t="shared" si="5"/>
        <v>738630.59000000008</v>
      </c>
      <c r="I16" s="42">
        <f t="shared" si="3"/>
        <v>7.2519464567612393E-2</v>
      </c>
      <c r="J16" s="46">
        <f t="shared" si="2"/>
        <v>0.48130328864443112</v>
      </c>
      <c r="K16" s="38"/>
      <c r="L16" s="37"/>
      <c r="M16" s="37"/>
      <c r="N16" s="36"/>
      <c r="O16" s="45">
        <f t="shared" si="4"/>
        <v>0.88593458344629272</v>
      </c>
    </row>
    <row r="17" spans="1:16" x14ac:dyDescent="0.25">
      <c r="A17" s="177"/>
      <c r="B17" s="228">
        <v>15</v>
      </c>
      <c r="C17" s="178">
        <v>34692.870004882556</v>
      </c>
      <c r="D17" s="178">
        <v>868423.26477818633</v>
      </c>
      <c r="E17" s="184">
        <f t="shared" si="0"/>
        <v>2.2606418759157691E-2</v>
      </c>
      <c r="F17" s="41">
        <f t="shared" si="1"/>
        <v>0.56587823322220465</v>
      </c>
      <c r="G17" s="178">
        <f>IFERROR(VLOOKUP(B17,'TD - curva s'!$D$4:$E$100,2,0),0)</f>
        <v>82628.069999999992</v>
      </c>
      <c r="H17" s="179">
        <f t="shared" si="5"/>
        <v>821258.66</v>
      </c>
      <c r="I17" s="42">
        <f t="shared" si="3"/>
        <v>5.3841747639157826E-2</v>
      </c>
      <c r="J17" s="46">
        <f t="shared" si="2"/>
        <v>0.53514503628358889</v>
      </c>
      <c r="K17" s="38"/>
      <c r="L17" s="37"/>
      <c r="M17" s="37"/>
      <c r="N17" s="36"/>
      <c r="O17" s="45">
        <f t="shared" si="4"/>
        <v>0.94568938132923785</v>
      </c>
    </row>
    <row r="18" spans="1:16" x14ac:dyDescent="0.25">
      <c r="A18" s="177"/>
      <c r="B18" s="228">
        <v>16</v>
      </c>
      <c r="C18" s="178">
        <v>15022.778170601949</v>
      </c>
      <c r="D18" s="178">
        <v>883446.04294878826</v>
      </c>
      <c r="E18" s="184">
        <f t="shared" si="0"/>
        <v>9.7890781074833188E-3</v>
      </c>
      <c r="F18" s="41">
        <f t="shared" si="1"/>
        <v>0.57566731132968796</v>
      </c>
      <c r="G18" s="178">
        <f>IFERROR(VLOOKUP(B18,'TD - curva s'!$D$4:$E$100,2,0),0)</f>
        <v>34692.869999999995</v>
      </c>
      <c r="H18" s="179">
        <f t="shared" si="5"/>
        <v>855951.53</v>
      </c>
      <c r="I18" s="42">
        <f t="shared" si="3"/>
        <v>2.2606418755976139E-2</v>
      </c>
      <c r="J18" s="46">
        <f t="shared" si="2"/>
        <v>0.55775145503956503</v>
      </c>
      <c r="K18" s="38"/>
      <c r="L18" s="37"/>
      <c r="M18" s="37"/>
      <c r="N18" s="36"/>
      <c r="O18" s="45">
        <f t="shared" si="4"/>
        <v>0.96887810730690871</v>
      </c>
    </row>
    <row r="19" spans="1:16" x14ac:dyDescent="0.25">
      <c r="A19" s="177"/>
      <c r="B19" s="228">
        <v>17</v>
      </c>
      <c r="C19" s="178">
        <v>16834.564667408733</v>
      </c>
      <c r="D19" s="178">
        <v>900280.60761619697</v>
      </c>
      <c r="E19" s="184">
        <f t="shared" si="0"/>
        <v>1.0969666633115162E-2</v>
      </c>
      <c r="F19" s="41">
        <f t="shared" si="1"/>
        <v>0.58663697796280312</v>
      </c>
      <c r="G19" s="178">
        <f>IFERROR(VLOOKUP(B19,'TD - curva s'!$D$4:$E$100,2,0),0)</f>
        <v>14440.029999999999</v>
      </c>
      <c r="H19" s="179">
        <f t="shared" si="5"/>
        <v>870391.56</v>
      </c>
      <c r="I19" s="42">
        <f t="shared" si="3"/>
        <v>9.4093502506093652E-3</v>
      </c>
      <c r="J19" s="46">
        <f t="shared" si="2"/>
        <v>0.56716080529017443</v>
      </c>
      <c r="K19" s="38"/>
      <c r="L19" s="37"/>
      <c r="M19" s="37"/>
      <c r="N19" s="36"/>
      <c r="O19" s="45">
        <f t="shared" si="4"/>
        <v>0.96680029830328285</v>
      </c>
    </row>
    <row r="20" spans="1:16" x14ac:dyDescent="0.25">
      <c r="A20" s="177"/>
      <c r="B20" s="228">
        <v>18</v>
      </c>
      <c r="C20" s="178">
        <v>63707.426177700589</v>
      </c>
      <c r="D20" s="178">
        <v>963988.0337938976</v>
      </c>
      <c r="E20" s="184">
        <f t="shared" si="0"/>
        <v>4.1512759078119972E-2</v>
      </c>
      <c r="F20" s="41">
        <f t="shared" si="1"/>
        <v>0.62814973704092303</v>
      </c>
      <c r="G20" s="178">
        <f>IFERROR(VLOOKUP(B20,'TD - curva s'!$D$4:$E$100,2,0),0)</f>
        <v>51093.03</v>
      </c>
      <c r="H20" s="179">
        <f t="shared" si="5"/>
        <v>921484.59000000008</v>
      </c>
      <c r="I20" s="42">
        <f t="shared" si="3"/>
        <v>3.3293020487830831E-2</v>
      </c>
      <c r="J20" s="46">
        <f t="shared" si="2"/>
        <v>0.60045382577800532</v>
      </c>
      <c r="K20" s="38"/>
      <c r="L20" s="37"/>
      <c r="M20" s="37"/>
      <c r="N20" s="36"/>
      <c r="O20" s="45">
        <f t="shared" si="4"/>
        <v>0.95590874336207299</v>
      </c>
    </row>
    <row r="21" spans="1:16" x14ac:dyDescent="0.25">
      <c r="A21" s="177"/>
      <c r="B21" s="228">
        <v>19</v>
      </c>
      <c r="C21" s="178">
        <v>30296.55501169978</v>
      </c>
      <c r="D21" s="178">
        <v>994284.58880559739</v>
      </c>
      <c r="E21" s="184">
        <f t="shared" si="0"/>
        <v>1.9741710889238994E-2</v>
      </c>
      <c r="F21" s="41">
        <f t="shared" si="1"/>
        <v>0.64789144793016207</v>
      </c>
      <c r="G21" s="178">
        <f>IFERROR(VLOOKUP(B21,'TD - curva s'!$D$4:$E$100,2,0),0)</f>
        <v>16411</v>
      </c>
      <c r="H21" s="179">
        <f t="shared" si="5"/>
        <v>937895.59000000008</v>
      </c>
      <c r="I21" s="42">
        <f t="shared" si="3"/>
        <v>1.0693665246038292E-2</v>
      </c>
      <c r="J21" s="46">
        <f t="shared" si="2"/>
        <v>0.61114749102404353</v>
      </c>
      <c r="K21" s="38"/>
      <c r="L21" s="37"/>
      <c r="M21" s="37"/>
      <c r="N21" s="36"/>
      <c r="O21" s="45">
        <f t="shared" si="4"/>
        <v>0.94328686229227821</v>
      </c>
    </row>
    <row r="22" spans="1:16" x14ac:dyDescent="0.25">
      <c r="A22" s="180">
        <v>1</v>
      </c>
      <c r="B22" s="229">
        <v>20</v>
      </c>
      <c r="C22" s="181">
        <v>21955.751440693777</v>
      </c>
      <c r="D22" s="181">
        <v>1016240.3402462911</v>
      </c>
      <c r="E22" s="185">
        <f t="shared" si="0"/>
        <v>1.4306712335141197E-2</v>
      </c>
      <c r="F22" s="63">
        <f t="shared" si="1"/>
        <v>0.6621981602653032</v>
      </c>
      <c r="G22" s="181">
        <f>IFERROR(VLOOKUP(B22,'TD - curva s'!$D$4:$E$100,2,0),0)</f>
        <v>0</v>
      </c>
      <c r="H22" s="182">
        <f t="shared" si="5"/>
        <v>937895.59000000008</v>
      </c>
      <c r="I22" s="62">
        <f t="shared" si="3"/>
        <v>0</v>
      </c>
      <c r="J22" s="187">
        <f t="shared" si="2"/>
        <v>0.61114749102404353</v>
      </c>
      <c r="K22" s="198"/>
      <c r="L22" s="199">
        <f>H22</f>
        <v>937895.59000000008</v>
      </c>
      <c r="M22" s="62">
        <f t="shared" ref="M22:M39" si="6">K22/$C$40</f>
        <v>0</v>
      </c>
      <c r="N22" s="187">
        <f t="shared" ref="N22:N39" si="7">L22/$C$40</f>
        <v>0.61114749102404353</v>
      </c>
      <c r="O22" s="75">
        <f t="shared" si="4"/>
        <v>0.92290726204855855</v>
      </c>
    </row>
    <row r="23" spans="1:16" x14ac:dyDescent="0.25">
      <c r="A23" s="44"/>
      <c r="B23" s="44">
        <v>21</v>
      </c>
      <c r="C23" s="43">
        <v>31780.30807893915</v>
      </c>
      <c r="D23" s="43">
        <v>1048020.6483252302</v>
      </c>
      <c r="E23" s="42">
        <f t="shared" si="0"/>
        <v>2.0708547682173024E-2</v>
      </c>
      <c r="F23" s="41">
        <f t="shared" si="1"/>
        <v>0.68290670794747621</v>
      </c>
      <c r="G23" s="40">
        <f>IFERROR(VLOOKUP(B23,'TD - curva s'!$D$4:$E$100,2,0),0)</f>
        <v>0</v>
      </c>
      <c r="H23" s="39"/>
      <c r="I23" s="42">
        <f t="shared" ref="I23:I39" si="8">G23/$C$40</f>
        <v>0</v>
      </c>
      <c r="J23" s="41"/>
      <c r="K23" s="43">
        <f>IFERROR(VLOOKUP(B23,'TD - curva s'!$I$4:$J$30,2,0),0)</f>
        <v>36446.869999999995</v>
      </c>
      <c r="L23" s="200">
        <f>K23+L22</f>
        <v>974342.46000000008</v>
      </c>
      <c r="M23" s="42">
        <f t="shared" si="6"/>
        <v>2.3749352693064139E-2</v>
      </c>
      <c r="N23" s="46">
        <f t="shared" si="7"/>
        <v>0.63489684371710775</v>
      </c>
      <c r="P23" s="45">
        <f>N23/F23</f>
        <v>0.92969777032258849</v>
      </c>
    </row>
    <row r="24" spans="1:16" x14ac:dyDescent="0.25">
      <c r="A24" s="44"/>
      <c r="B24" s="44">
        <v>22</v>
      </c>
      <c r="C24" s="43">
        <v>27486.01279899351</v>
      </c>
      <c r="D24" s="43">
        <v>1075506.6611242238</v>
      </c>
      <c r="E24" s="42">
        <f t="shared" si="0"/>
        <v>1.7910317459067734E-2</v>
      </c>
      <c r="F24" s="41">
        <f t="shared" si="1"/>
        <v>0.700817025406544</v>
      </c>
      <c r="G24" s="40">
        <f>IFERROR(VLOOKUP(B24,'TD - curva s'!$D$4:$E$100,2,0),0)</f>
        <v>0</v>
      </c>
      <c r="H24" s="39"/>
      <c r="I24" s="42">
        <f t="shared" si="8"/>
        <v>0</v>
      </c>
      <c r="J24" s="41"/>
      <c r="K24" s="43">
        <f>IFERROR(VLOOKUP(B24,'TD - curva s'!$I$4:$J$30,2,0),0)</f>
        <v>47174.679999999993</v>
      </c>
      <c r="L24" s="200">
        <f t="shared" ref="L24:L39" si="9">K24+L23</f>
        <v>1021517.1400000001</v>
      </c>
      <c r="M24" s="42">
        <f t="shared" si="6"/>
        <v>3.07397621113264E-2</v>
      </c>
      <c r="N24" s="46">
        <f t="shared" si="7"/>
        <v>0.6656366058284342</v>
      </c>
      <c r="P24" s="45">
        <f t="shared" ref="P24:P39" si="10">N24/F24</f>
        <v>0.94980084914789042</v>
      </c>
    </row>
    <row r="25" spans="1:16" x14ac:dyDescent="0.25">
      <c r="A25" s="44"/>
      <c r="B25" s="44">
        <v>23</v>
      </c>
      <c r="C25" s="43">
        <v>53986.012798993514</v>
      </c>
      <c r="D25" s="43">
        <v>1129492.6739232175</v>
      </c>
      <c r="E25" s="42">
        <f t="shared" si="0"/>
        <v>3.5178133498310601E-2</v>
      </c>
      <c r="F25" s="41">
        <f t="shared" si="1"/>
        <v>0.73599515890485467</v>
      </c>
      <c r="G25" s="40">
        <f>IFERROR(VLOOKUP(B25,'TD - curva s'!$D$4:$E$100,2,0),0)</f>
        <v>0</v>
      </c>
      <c r="H25" s="39"/>
      <c r="I25" s="42">
        <f t="shared" si="8"/>
        <v>0</v>
      </c>
      <c r="J25" s="41"/>
      <c r="K25" s="43">
        <f>IFERROR(VLOOKUP(B25,'TD - curva s'!$I$4:$J$30,2,0),0)</f>
        <v>53989.52</v>
      </c>
      <c r="L25" s="200">
        <f t="shared" si="9"/>
        <v>1075506.6600000001</v>
      </c>
      <c r="M25" s="42">
        <f t="shared" si="6"/>
        <v>3.518041884554806E-2</v>
      </c>
      <c r="N25" s="46">
        <f t="shared" si="7"/>
        <v>0.70081702467398221</v>
      </c>
      <c r="P25" s="45">
        <f t="shared" si="10"/>
        <v>0.95220330758259775</v>
      </c>
    </row>
    <row r="26" spans="1:16" x14ac:dyDescent="0.25">
      <c r="A26" s="44"/>
      <c r="B26" s="44">
        <v>24</v>
      </c>
      <c r="C26" s="43">
        <v>58881.461655009341</v>
      </c>
      <c r="D26" s="43">
        <v>1188374.1355782268</v>
      </c>
      <c r="E26" s="42">
        <f t="shared" si="0"/>
        <v>3.8368084829450345E-2</v>
      </c>
      <c r="F26" s="41">
        <f t="shared" si="1"/>
        <v>0.77436324373430498</v>
      </c>
      <c r="G26" s="40">
        <f>IFERROR(VLOOKUP(B26,'TD - curva s'!$D$4:$E$100,2,0),0)</f>
        <v>0</v>
      </c>
      <c r="H26" s="39"/>
      <c r="I26" s="42">
        <f t="shared" si="8"/>
        <v>0</v>
      </c>
      <c r="J26" s="41"/>
      <c r="K26" s="43">
        <f>IFERROR(VLOOKUP(B26,'TD - curva s'!$I$4:$J$30,2,0),0)</f>
        <v>27486.01</v>
      </c>
      <c r="L26" s="200">
        <f t="shared" si="9"/>
        <v>1102992.6700000002</v>
      </c>
      <c r="M26" s="42">
        <f t="shared" si="6"/>
        <v>1.7910315635199618E-2</v>
      </c>
      <c r="N26" s="46">
        <f t="shared" si="7"/>
        <v>0.71872734030918184</v>
      </c>
      <c r="P26" s="45">
        <f t="shared" si="10"/>
        <v>0.92815270627151225</v>
      </c>
    </row>
    <row r="27" spans="1:16" x14ac:dyDescent="0.25">
      <c r="A27" s="44"/>
      <c r="B27" s="44">
        <v>25</v>
      </c>
      <c r="C27" s="43">
        <v>40743.292603246271</v>
      </c>
      <c r="D27" s="43">
        <v>1229117.4281814729</v>
      </c>
      <c r="E27" s="42">
        <f t="shared" si="0"/>
        <v>2.6548969113430236E-2</v>
      </c>
      <c r="F27" s="41">
        <f t="shared" si="1"/>
        <v>0.80091221284773517</v>
      </c>
      <c r="G27" s="40">
        <f>IFERROR(VLOOKUP(B27,'TD - curva s'!$D$4:$E$100,2,0),0)</f>
        <v>0</v>
      </c>
      <c r="H27" s="39"/>
      <c r="I27" s="42">
        <f t="shared" si="8"/>
        <v>0</v>
      </c>
      <c r="J27" s="41"/>
      <c r="K27" s="43">
        <f>IFERROR(VLOOKUP(B27,'TD - curva s'!$I$4:$J$30,2,0),0)</f>
        <v>80246.94</v>
      </c>
      <c r="L27" s="200">
        <f t="shared" si="9"/>
        <v>1183239.6100000001</v>
      </c>
      <c r="M27" s="42">
        <f t="shared" si="6"/>
        <v>5.2290165948383399E-2</v>
      </c>
      <c r="N27" s="46">
        <f t="shared" si="7"/>
        <v>0.77101750625756516</v>
      </c>
      <c r="P27" s="45">
        <f t="shared" si="10"/>
        <v>0.96267417813011491</v>
      </c>
    </row>
    <row r="28" spans="1:16" x14ac:dyDescent="0.25">
      <c r="A28" s="44"/>
      <c r="B28" s="44">
        <v>26</v>
      </c>
      <c r="C28" s="43">
        <v>37549.314166299002</v>
      </c>
      <c r="D28" s="43">
        <v>1266666.742347772</v>
      </c>
      <c r="E28" s="42">
        <f t="shared" si="0"/>
        <v>2.4467722619750467E-2</v>
      </c>
      <c r="F28" s="41">
        <f t="shared" si="1"/>
        <v>0.82537993546748567</v>
      </c>
      <c r="G28" s="40">
        <f>IFERROR(VLOOKUP(B28,'TD - curva s'!$D$4:$E$100,2,0),0)</f>
        <v>0</v>
      </c>
      <c r="H28" s="39"/>
      <c r="I28" s="42">
        <f t="shared" si="8"/>
        <v>0</v>
      </c>
      <c r="J28" s="41"/>
      <c r="K28" s="43">
        <f>IFERROR(VLOOKUP(B28,'TD - curva s'!$I$4:$J$30,2,0),0)</f>
        <v>38445.800000000003</v>
      </c>
      <c r="L28" s="200">
        <f t="shared" si="9"/>
        <v>1221685.4100000001</v>
      </c>
      <c r="M28" s="42">
        <f t="shared" si="6"/>
        <v>2.5051886863453717E-2</v>
      </c>
      <c r="N28" s="46">
        <f t="shared" si="7"/>
        <v>0.79606939312101899</v>
      </c>
      <c r="P28" s="45">
        <f t="shared" si="10"/>
        <v>0.96448842395246071</v>
      </c>
    </row>
    <row r="29" spans="1:16" x14ac:dyDescent="0.25">
      <c r="A29" s="44"/>
      <c r="B29" s="44">
        <v>27</v>
      </c>
      <c r="C29" s="43">
        <v>20123.349399216</v>
      </c>
      <c r="D29" s="43">
        <v>1286790.091746988</v>
      </c>
      <c r="E29" s="42">
        <f t="shared" si="0"/>
        <v>1.3112690396946052E-2</v>
      </c>
      <c r="F29" s="41">
        <f t="shared" si="1"/>
        <v>0.83849262586443174</v>
      </c>
      <c r="G29" s="40">
        <f>IFERROR(VLOOKUP(B29,'TD - curva s'!$D$4:$E$100,2,0),0)</f>
        <v>0</v>
      </c>
      <c r="H29" s="39"/>
      <c r="I29" s="42">
        <f t="shared" si="8"/>
        <v>0</v>
      </c>
      <c r="J29" s="41"/>
      <c r="K29" s="43">
        <f>IFERROR(VLOOKUP(B29,'TD - curva s'!$I$4:$J$30,2,0),0)</f>
        <v>40205.910000000003</v>
      </c>
      <c r="L29" s="200">
        <f t="shared" si="9"/>
        <v>1261891.32</v>
      </c>
      <c r="M29" s="42">
        <f t="shared" si="6"/>
        <v>2.6198802172466236E-2</v>
      </c>
      <c r="N29" s="46">
        <f t="shared" si="7"/>
        <v>0.82226819529348516</v>
      </c>
      <c r="P29" s="45">
        <f t="shared" si="10"/>
        <v>0.98065047912112491</v>
      </c>
    </row>
    <row r="30" spans="1:16" x14ac:dyDescent="0.25">
      <c r="A30" s="44"/>
      <c r="B30" s="44">
        <v>28</v>
      </c>
      <c r="C30" s="43">
        <v>30598.170594651096</v>
      </c>
      <c r="D30" s="43">
        <v>1317388.262341639</v>
      </c>
      <c r="E30" s="42">
        <f t="shared" si="0"/>
        <v>1.9938248338332291E-2</v>
      </c>
      <c r="F30" s="41">
        <f t="shared" si="1"/>
        <v>0.85843087420276398</v>
      </c>
      <c r="G30" s="40">
        <f>IFERROR(VLOOKUP(B30,'TD - curva s'!$D$4:$E$100,2,0),0)</f>
        <v>0</v>
      </c>
      <c r="H30" s="39"/>
      <c r="I30" s="42">
        <f t="shared" si="8"/>
        <v>0</v>
      </c>
      <c r="J30" s="41"/>
      <c r="K30" s="43">
        <f>IFERROR(VLOOKUP(B30,'TD - curva s'!$I$4:$J$30,2,0),0)</f>
        <v>20932.910000000003</v>
      </c>
      <c r="L30" s="200">
        <f t="shared" si="9"/>
        <v>1282824.23</v>
      </c>
      <c r="M30" s="42">
        <f t="shared" si="6"/>
        <v>1.3640212794189716E-2</v>
      </c>
      <c r="N30" s="46">
        <f t="shared" si="7"/>
        <v>0.83590840808767475</v>
      </c>
      <c r="P30" s="45">
        <f t="shared" si="10"/>
        <v>0.97376321519655717</v>
      </c>
    </row>
    <row r="31" spans="1:16" x14ac:dyDescent="0.25">
      <c r="A31" s="44"/>
      <c r="B31" s="44">
        <v>29</v>
      </c>
      <c r="C31" s="43">
        <v>37506.579923461606</v>
      </c>
      <c r="D31" s="43">
        <v>1354894.8422651007</v>
      </c>
      <c r="E31" s="42">
        <f t="shared" si="0"/>
        <v>2.4439876316207355E-2</v>
      </c>
      <c r="F31" s="41">
        <f t="shared" si="1"/>
        <v>0.88287075051897135</v>
      </c>
      <c r="G31" s="40">
        <f>IFERROR(VLOOKUP(B31,'TD - curva s'!$D$4:$E$100,2,0),0)</f>
        <v>0</v>
      </c>
      <c r="H31" s="39"/>
      <c r="I31" s="42">
        <f t="shared" si="8"/>
        <v>0</v>
      </c>
      <c r="J31" s="41"/>
      <c r="K31" s="43">
        <f>IFERROR(VLOOKUP(B31,'TD - curva s'!$I$4:$J$30,2,0),0)</f>
        <v>34286.5</v>
      </c>
      <c r="L31" s="200">
        <f t="shared" si="9"/>
        <v>1317110.73</v>
      </c>
      <c r="M31" s="42">
        <f t="shared" si="6"/>
        <v>2.2341621684132097E-2</v>
      </c>
      <c r="N31" s="46">
        <f t="shared" si="7"/>
        <v>0.85825002977180687</v>
      </c>
      <c r="P31" s="45">
        <f t="shared" si="10"/>
        <v>0.97211288205811341</v>
      </c>
    </row>
    <row r="32" spans="1:16" x14ac:dyDescent="0.25">
      <c r="A32" s="44"/>
      <c r="B32" s="44">
        <v>30</v>
      </c>
      <c r="C32" s="43">
        <v>36641.15922229585</v>
      </c>
      <c r="D32" s="43">
        <v>1391536.0014873964</v>
      </c>
      <c r="E32" s="42">
        <f t="shared" si="0"/>
        <v>2.387595460057404E-2</v>
      </c>
      <c r="F32" s="41">
        <f t="shared" si="1"/>
        <v>0.90674670511954536</v>
      </c>
      <c r="G32" s="40">
        <f>IFERROR(VLOOKUP(B32,'TD - curva s'!$D$4:$E$100,2,0),0)</f>
        <v>0</v>
      </c>
      <c r="H32" s="39"/>
      <c r="I32" s="42">
        <f t="shared" si="8"/>
        <v>0</v>
      </c>
      <c r="J32" s="41"/>
      <c r="K32" s="43">
        <f>IFERROR(VLOOKUP(B32,'TD - curva s'!$I$4:$J$30,2,0),0)</f>
        <v>26920.059999999998</v>
      </c>
      <c r="L32" s="200">
        <f t="shared" si="9"/>
        <v>1344030.79</v>
      </c>
      <c r="M32" s="42">
        <f t="shared" si="6"/>
        <v>1.7541533730014353E-2</v>
      </c>
      <c r="N32" s="46">
        <f t="shared" si="7"/>
        <v>0.8757915635018213</v>
      </c>
      <c r="P32" s="45">
        <f t="shared" si="10"/>
        <v>0.96586131337125403</v>
      </c>
    </row>
    <row r="33" spans="1:16" x14ac:dyDescent="0.25">
      <c r="A33" s="44"/>
      <c r="B33" s="44">
        <v>31</v>
      </c>
      <c r="C33" s="43">
        <v>50488.30599696342</v>
      </c>
      <c r="D33" s="43">
        <v>1442024.3074843599</v>
      </c>
      <c r="E33" s="42">
        <f t="shared" si="0"/>
        <v>3.2898972833530826E-2</v>
      </c>
      <c r="F33" s="41">
        <f t="shared" si="1"/>
        <v>0.9396456779530763</v>
      </c>
      <c r="G33" s="40">
        <f>IFERROR(VLOOKUP(B33,'TD - curva s'!$D$4:$E$100,2,0),0)</f>
        <v>0</v>
      </c>
      <c r="H33" s="39"/>
      <c r="I33" s="42">
        <f t="shared" si="8"/>
        <v>0</v>
      </c>
      <c r="J33" s="41"/>
      <c r="K33" s="43">
        <f>IFERROR(VLOOKUP(B33,'TD - curva s'!$I$4:$J$30,2,0),0)</f>
        <v>54386.579999999994</v>
      </c>
      <c r="L33" s="200">
        <f t="shared" si="9"/>
        <v>1398417.37</v>
      </c>
      <c r="M33" s="42">
        <f t="shared" si="6"/>
        <v>3.5439149375228879E-2</v>
      </c>
      <c r="N33" s="46">
        <f t="shared" si="7"/>
        <v>0.91123071287705026</v>
      </c>
      <c r="P33" s="45">
        <f t="shared" si="10"/>
        <v>0.96975991510126969</v>
      </c>
    </row>
    <row r="34" spans="1:16" x14ac:dyDescent="0.25">
      <c r="A34" s="44"/>
      <c r="B34" s="44">
        <v>32</v>
      </c>
      <c r="C34" s="43">
        <v>33770.389622184142</v>
      </c>
      <c r="D34" s="43">
        <v>1475794.6971065442</v>
      </c>
      <c r="E34" s="42">
        <f t="shared" si="0"/>
        <v>2.2005316059223859E-2</v>
      </c>
      <c r="F34" s="41">
        <f t="shared" si="1"/>
        <v>0.96165099401230014</v>
      </c>
      <c r="G34" s="40">
        <f>IFERROR(VLOOKUP(B34,'TD - curva s'!$D$4:$E$100,2,0),0)</f>
        <v>0</v>
      </c>
      <c r="H34" s="39"/>
      <c r="I34" s="42">
        <f t="shared" si="8"/>
        <v>0</v>
      </c>
      <c r="J34" s="41"/>
      <c r="K34" s="43">
        <f>IFERROR(VLOOKUP(B34,'TD - curva s'!$I$4:$J$30,2,0),0)</f>
        <v>53714.880000000005</v>
      </c>
      <c r="L34" s="200">
        <f t="shared" si="9"/>
        <v>1452132.25</v>
      </c>
      <c r="M34" s="42">
        <f t="shared" si="6"/>
        <v>3.5001459109811547E-2</v>
      </c>
      <c r="N34" s="46">
        <f t="shared" si="7"/>
        <v>0.94623217198686171</v>
      </c>
      <c r="P34" s="45">
        <f t="shared" si="10"/>
        <v>0.98396630157776221</v>
      </c>
    </row>
    <row r="35" spans="1:16" x14ac:dyDescent="0.25">
      <c r="A35" s="44"/>
      <c r="B35" s="44">
        <v>33</v>
      </c>
      <c r="C35" s="43">
        <v>26251.335540128548</v>
      </c>
      <c r="D35" s="43">
        <v>1502046.0326466728</v>
      </c>
      <c r="E35" s="42">
        <f t="shared" si="0"/>
        <v>1.7105782373259552E-2</v>
      </c>
      <c r="F35" s="41">
        <f t="shared" si="1"/>
        <v>0.9787567763855598</v>
      </c>
      <c r="G35" s="40">
        <f>IFERROR(VLOOKUP(B35,'TD - curva s'!$D$4:$E$100,2,0),0)</f>
        <v>0</v>
      </c>
      <c r="H35" s="39"/>
      <c r="I35" s="42">
        <f t="shared" si="8"/>
        <v>0</v>
      </c>
      <c r="J35" s="41"/>
      <c r="K35" s="43">
        <f>IFERROR(VLOOKUP(B35,'TD - curva s'!$I$4:$J$30,2,0),0)</f>
        <v>26251.34</v>
      </c>
      <c r="L35" s="200">
        <f t="shared" si="9"/>
        <v>1478383.59</v>
      </c>
      <c r="M35" s="42">
        <f t="shared" si="6"/>
        <v>1.7105785279381808E-2</v>
      </c>
      <c r="N35" s="46">
        <f t="shared" si="7"/>
        <v>0.96333795726624361</v>
      </c>
      <c r="P35" s="45">
        <f t="shared" si="10"/>
        <v>0.98424652631652143</v>
      </c>
    </row>
    <row r="36" spans="1:16" x14ac:dyDescent="0.25">
      <c r="A36" s="44"/>
      <c r="B36" s="44">
        <v>34</v>
      </c>
      <c r="C36" s="43">
        <v>19538.713362577455</v>
      </c>
      <c r="D36" s="43">
        <v>1521584.7460092502</v>
      </c>
      <c r="E36" s="42">
        <f t="shared" si="0"/>
        <v>1.2731732376923922E-2</v>
      </c>
      <c r="F36" s="41">
        <f t="shared" si="1"/>
        <v>0.99148850876248362</v>
      </c>
      <c r="G36" s="40">
        <f>IFERROR(VLOOKUP(B36,'TD - curva s'!$D$4:$E$100,2,0),0)</f>
        <v>0</v>
      </c>
      <c r="H36" s="39"/>
      <c r="I36" s="42">
        <f t="shared" si="8"/>
        <v>0</v>
      </c>
      <c r="J36" s="41"/>
      <c r="K36" s="43">
        <f>IFERROR(VLOOKUP(B36,'TD - curva s'!$I$4:$J$30,2,0),0)</f>
        <v>17358.64</v>
      </c>
      <c r="L36" s="200">
        <f t="shared" si="9"/>
        <v>1495742.23</v>
      </c>
      <c r="M36" s="42">
        <f t="shared" si="6"/>
        <v>1.1311162347601615E-2</v>
      </c>
      <c r="N36" s="46">
        <f t="shared" si="7"/>
        <v>0.97464911961384515</v>
      </c>
      <c r="P36" s="45">
        <f t="shared" si="10"/>
        <v>0.98301605212786947</v>
      </c>
    </row>
    <row r="37" spans="1:16" x14ac:dyDescent="0.25">
      <c r="A37" s="44"/>
      <c r="B37" s="44">
        <v>35</v>
      </c>
      <c r="C37" s="43">
        <v>3687.377822448907</v>
      </c>
      <c r="D37" s="43">
        <v>1525272.1238316991</v>
      </c>
      <c r="E37" s="42">
        <f t="shared" si="0"/>
        <v>2.4027532794427047E-3</v>
      </c>
      <c r="F37" s="41">
        <f t="shared" si="1"/>
        <v>0.99389126204192635</v>
      </c>
      <c r="G37" s="40">
        <f>IFERROR(VLOOKUP(B37,'TD - curva s'!$D$4:$E$100,2,0),0)</f>
        <v>0</v>
      </c>
      <c r="H37" s="39"/>
      <c r="I37" s="42">
        <f t="shared" si="8"/>
        <v>0</v>
      </c>
      <c r="J37" s="41"/>
      <c r="K37" s="43">
        <f>IFERROR(VLOOKUP(B37,'TD - curva s'!$I$4:$J$30,2,0),0)</f>
        <v>17358.64</v>
      </c>
      <c r="L37" s="200">
        <f t="shared" si="9"/>
        <v>1513100.8699999999</v>
      </c>
      <c r="M37" s="42">
        <f t="shared" si="6"/>
        <v>1.1311162347601615E-2</v>
      </c>
      <c r="N37" s="46">
        <f t="shared" si="7"/>
        <v>0.98596028196144669</v>
      </c>
      <c r="P37" s="45">
        <f t="shared" si="10"/>
        <v>0.99202027386357572</v>
      </c>
    </row>
    <row r="38" spans="1:16" x14ac:dyDescent="0.25">
      <c r="A38" s="44"/>
      <c r="B38" s="44">
        <v>36</v>
      </c>
      <c r="C38" s="43">
        <v>4687.377822448907</v>
      </c>
      <c r="D38" s="43">
        <v>1529959.5016541481</v>
      </c>
      <c r="E38" s="42">
        <f t="shared" si="0"/>
        <v>3.0543689790367753E-3</v>
      </c>
      <c r="F38" s="41">
        <f t="shared" si="1"/>
        <v>0.99694563102096323</v>
      </c>
      <c r="G38" s="40">
        <f>IFERROR(VLOOKUP(B38,'TD - curva s'!$D$4:$E$100,2,0),0)</f>
        <v>0</v>
      </c>
      <c r="H38" s="39"/>
      <c r="I38" s="42">
        <f t="shared" si="8"/>
        <v>0</v>
      </c>
      <c r="J38" s="41"/>
      <c r="K38" s="43">
        <f>IFERROR(VLOOKUP(B38,'TD - curva s'!$I$4:$J$30,2,0),0)</f>
        <v>17358.64</v>
      </c>
      <c r="L38" s="200">
        <f t="shared" si="9"/>
        <v>1530459.5099999998</v>
      </c>
      <c r="M38" s="42">
        <f t="shared" si="6"/>
        <v>1.1311162347601615E-2</v>
      </c>
      <c r="N38" s="46">
        <f t="shared" si="7"/>
        <v>0.99727144430904824</v>
      </c>
      <c r="P38" s="45">
        <f t="shared" si="10"/>
        <v>1.0003268114909649</v>
      </c>
    </row>
    <row r="39" spans="1:16" x14ac:dyDescent="0.25">
      <c r="A39" s="44"/>
      <c r="B39" s="44">
        <v>37</v>
      </c>
      <c r="C39" s="43">
        <v>4687.377822448907</v>
      </c>
      <c r="D39" s="43">
        <v>1534646.8794765971</v>
      </c>
      <c r="E39" s="42">
        <f t="shared" si="0"/>
        <v>3.0543689790367753E-3</v>
      </c>
      <c r="F39" s="41">
        <f t="shared" si="1"/>
        <v>1</v>
      </c>
      <c r="G39" s="40">
        <f>IFERROR(VLOOKUP(B39,'TD - curva s'!$D$4:$E$100,2,0),0)</f>
        <v>0</v>
      </c>
      <c r="H39" s="39"/>
      <c r="I39" s="42">
        <f t="shared" si="8"/>
        <v>0</v>
      </c>
      <c r="J39" s="41"/>
      <c r="K39" s="43">
        <f>IFERROR(VLOOKUP(B39,'TD - curva s'!$I$4:$J$30,2,0),0)</f>
        <v>4187.38</v>
      </c>
      <c r="L39" s="200">
        <f t="shared" si="9"/>
        <v>1534646.8899999997</v>
      </c>
      <c r="M39" s="42">
        <f t="shared" si="6"/>
        <v>2.7285625481662189E-3</v>
      </c>
      <c r="N39" s="46">
        <f t="shared" si="7"/>
        <v>1.0000000068572144</v>
      </c>
      <c r="P39" s="45">
        <f t="shared" si="10"/>
        <v>1.0000000068572144</v>
      </c>
    </row>
    <row r="40" spans="1:16" x14ac:dyDescent="0.25">
      <c r="C40" s="35">
        <f>SUM(C3:C39)</f>
        <v>1534646.8794765971</v>
      </c>
    </row>
  </sheetData>
  <customSheetViews>
    <customSheetView guid="{28BE6562-61BE-42C3-B697-462A6F62428C}" scale="70">
      <selection activeCell="N44" sqref="N44"/>
      <pageMargins left="0.511811024" right="0.511811024" top="0.78740157499999996" bottom="0.78740157499999996" header="0.31496062000000002" footer="0.31496062000000002"/>
    </customSheetView>
    <customSheetView guid="{00F68F5D-E7EC-4A9D-A8F7-19E9173D4D0E}" scale="70">
      <selection activeCell="N44" sqref="N44"/>
      <pageMargins left="0.511811024" right="0.511811024" top="0.78740157499999996" bottom="0.78740157499999996" header="0.31496062000000002" footer="0.31496062000000002"/>
    </customSheetView>
  </customSheetViews>
  <mergeCells count="4">
    <mergeCell ref="C1:F1"/>
    <mergeCell ref="G1:J1"/>
    <mergeCell ref="K1:N1"/>
    <mergeCell ref="O1:O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C48AD-01D9-4FAC-9BE6-1BDE9EBA4707}">
  <dimension ref="B1:L49"/>
  <sheetViews>
    <sheetView tabSelected="1" zoomScale="85" zoomScaleNormal="85" workbookViewId="0">
      <selection activeCell="K33" sqref="K33"/>
    </sheetView>
  </sheetViews>
  <sheetFormatPr defaultRowHeight="15" x14ac:dyDescent="0.25"/>
  <cols>
    <col min="2" max="2" width="22" customWidth="1"/>
    <col min="3" max="3" width="16.140625" style="2" customWidth="1"/>
    <col min="4" max="4" width="15.7109375" style="2" bestFit="1" customWidth="1"/>
    <col min="5" max="5" width="15" style="2" customWidth="1"/>
    <col min="6" max="6" width="11.7109375" style="2" bestFit="1" customWidth="1"/>
    <col min="7" max="7" width="12.5703125" customWidth="1"/>
    <col min="8" max="8" width="23.7109375" customWidth="1"/>
    <col min="9" max="10" width="12.140625" customWidth="1"/>
  </cols>
  <sheetData>
    <row r="1" spans="2:12" s="70" customFormat="1" ht="18.75" customHeight="1" x14ac:dyDescent="0.25">
      <c r="B1" s="272" t="s">
        <v>360</v>
      </c>
      <c r="C1" s="272" t="s">
        <v>364</v>
      </c>
      <c r="D1" s="272"/>
      <c r="E1" s="272" t="s">
        <v>366</v>
      </c>
      <c r="F1" s="272"/>
      <c r="G1" s="272"/>
      <c r="H1" s="272"/>
    </row>
    <row r="2" spans="2:12" x14ac:dyDescent="0.25">
      <c r="B2" s="272"/>
      <c r="C2" s="71" t="s">
        <v>7</v>
      </c>
      <c r="D2" s="71" t="s">
        <v>365</v>
      </c>
      <c r="E2" s="72" t="s">
        <v>367</v>
      </c>
      <c r="F2" s="72" t="s">
        <v>368</v>
      </c>
      <c r="G2" s="68" t="s">
        <v>369</v>
      </c>
      <c r="H2" s="68" t="s">
        <v>370</v>
      </c>
      <c r="I2" s="268" t="s">
        <v>420</v>
      </c>
      <c r="J2" s="269"/>
    </row>
    <row r="3" spans="2:12" x14ac:dyDescent="0.25">
      <c r="B3" s="68" t="s">
        <v>361</v>
      </c>
      <c r="C3" s="69">
        <f>'BASE DE DADOS'!H2</f>
        <v>44424</v>
      </c>
      <c r="D3" s="69">
        <f>'BASE DE DADOS'!I2</f>
        <v>44680</v>
      </c>
      <c r="E3" s="60">
        <f>D3-C3</f>
        <v>256</v>
      </c>
      <c r="F3" s="60">
        <f>'BASE DE DADOS'!G2</f>
        <v>185</v>
      </c>
      <c r="G3" s="60">
        <f>C6-C3</f>
        <v>137</v>
      </c>
      <c r="H3" s="60">
        <f>D3-C6</f>
        <v>119</v>
      </c>
      <c r="I3" s="78">
        <v>9</v>
      </c>
      <c r="J3" s="78">
        <v>5</v>
      </c>
      <c r="L3" s="79">
        <f>J3/I3</f>
        <v>0.55555555555555558</v>
      </c>
    </row>
    <row r="4" spans="2:12" x14ac:dyDescent="0.25">
      <c r="G4" s="74">
        <f>G3/E3</f>
        <v>0.53515625</v>
      </c>
      <c r="H4" s="74">
        <f>H3/E3</f>
        <v>0.46484375</v>
      </c>
      <c r="I4" s="74"/>
      <c r="J4" s="74"/>
    </row>
    <row r="5" spans="2:12" x14ac:dyDescent="0.25">
      <c r="C5" s="14"/>
    </row>
    <row r="6" spans="2:12" x14ac:dyDescent="0.25">
      <c r="B6" s="221" t="s">
        <v>362</v>
      </c>
      <c r="C6" s="222">
        <f>'CURVA S'!B1</f>
        <v>44561</v>
      </c>
      <c r="E6"/>
    </row>
    <row r="7" spans="2:12" x14ac:dyDescent="0.25">
      <c r="B7" s="221" t="s">
        <v>363</v>
      </c>
      <c r="C7" s="223">
        <f>VLOOKUP(C6,SEMANAS!B1:D301,2,0)</f>
        <v>20</v>
      </c>
      <c r="E7"/>
    </row>
    <row r="10" spans="2:12" x14ac:dyDescent="0.25">
      <c r="B10" s="273" t="s">
        <v>377</v>
      </c>
      <c r="C10" s="274"/>
    </row>
    <row r="11" spans="2:12" x14ac:dyDescent="0.25">
      <c r="B11" s="76" t="s">
        <v>371</v>
      </c>
      <c r="C11" s="74">
        <f>VLOOKUP(C7,'CURVA S'!B3:J39,5,0)</f>
        <v>0.6621981602653032</v>
      </c>
    </row>
    <row r="12" spans="2:12" x14ac:dyDescent="0.25">
      <c r="B12" s="76" t="s">
        <v>372</v>
      </c>
      <c r="C12" s="74">
        <f>VLOOKUP(C7,'CURVA S'!B3:J39,9,0)</f>
        <v>0.61114749102404353</v>
      </c>
    </row>
    <row r="13" spans="2:12" x14ac:dyDescent="0.25">
      <c r="B13" s="76" t="s">
        <v>373</v>
      </c>
      <c r="C13" s="77">
        <f>C12/C11</f>
        <v>0.92290726204855855</v>
      </c>
    </row>
    <row r="14" spans="2:12" x14ac:dyDescent="0.25">
      <c r="B14" s="76" t="s">
        <v>374</v>
      </c>
      <c r="C14" s="77">
        <f>C12-C11</f>
        <v>-5.1050669241259672E-2</v>
      </c>
    </row>
    <row r="15" spans="2:12" x14ac:dyDescent="0.25">
      <c r="B15" s="76" t="s">
        <v>375</v>
      </c>
      <c r="C15" s="60">
        <v>15</v>
      </c>
    </row>
    <row r="16" spans="2:12" x14ac:dyDescent="0.25">
      <c r="G16" t="s">
        <v>580</v>
      </c>
      <c r="H16" t="s">
        <v>581</v>
      </c>
    </row>
    <row r="17" spans="2:10" x14ac:dyDescent="0.25">
      <c r="B17" s="270" t="s">
        <v>378</v>
      </c>
      <c r="C17" s="270"/>
      <c r="E17" s="271" t="s">
        <v>384</v>
      </c>
      <c r="F17" s="271"/>
      <c r="G17" s="201">
        <v>1</v>
      </c>
      <c r="H17" s="201">
        <v>2</v>
      </c>
      <c r="I17" s="202">
        <f>G17/H17</f>
        <v>0.5</v>
      </c>
    </row>
    <row r="18" spans="2:10" x14ac:dyDescent="0.25">
      <c r="B18" s="76" t="s">
        <v>371</v>
      </c>
      <c r="C18" s="74">
        <v>0.06</v>
      </c>
      <c r="E18" s="271" t="s">
        <v>385</v>
      </c>
      <c r="F18" s="271"/>
      <c r="G18" s="201">
        <v>23</v>
      </c>
      <c r="H18" s="201">
        <f>76/2</f>
        <v>38</v>
      </c>
      <c r="I18" s="202">
        <f>G18/H18</f>
        <v>0.60526315789473684</v>
      </c>
      <c r="J18" s="230">
        <f>H18-G18</f>
        <v>15</v>
      </c>
    </row>
    <row r="19" spans="2:10" x14ac:dyDescent="0.25">
      <c r="B19" s="76" t="s">
        <v>372</v>
      </c>
      <c r="C19" s="74">
        <v>0.05</v>
      </c>
      <c r="E19" s="30"/>
    </row>
    <row r="20" spans="2:10" x14ac:dyDescent="0.25">
      <c r="B20" s="76" t="s">
        <v>577</v>
      </c>
      <c r="C20" s="77">
        <f>C19/C18</f>
        <v>0.83333333333333337</v>
      </c>
    </row>
    <row r="21" spans="2:10" x14ac:dyDescent="0.25">
      <c r="B21" s="76" t="s">
        <v>374</v>
      </c>
      <c r="C21" s="77">
        <f>C19-C18</f>
        <v>-9.999999999999995E-3</v>
      </c>
    </row>
    <row r="23" spans="2:10" x14ac:dyDescent="0.25">
      <c r="B23" s="270" t="s">
        <v>379</v>
      </c>
      <c r="C23" s="270"/>
    </row>
    <row r="24" spans="2:10" x14ac:dyDescent="0.25">
      <c r="B24" s="60" t="s">
        <v>383</v>
      </c>
      <c r="C24" s="74">
        <v>0.8</v>
      </c>
    </row>
    <row r="25" spans="2:10" x14ac:dyDescent="0.25">
      <c r="B25" s="60" t="s">
        <v>382</v>
      </c>
      <c r="C25" s="74">
        <v>0.88</v>
      </c>
    </row>
    <row r="26" spans="2:10" x14ac:dyDescent="0.25">
      <c r="B26" s="60" t="s">
        <v>380</v>
      </c>
      <c r="C26" s="77">
        <v>0.87</v>
      </c>
    </row>
    <row r="27" spans="2:10" x14ac:dyDescent="0.25">
      <c r="B27" s="60" t="s">
        <v>381</v>
      </c>
      <c r="C27" s="77">
        <v>0.75</v>
      </c>
    </row>
    <row r="30" spans="2:10" x14ac:dyDescent="0.25">
      <c r="C30"/>
      <c r="D30"/>
      <c r="E30"/>
    </row>
    <row r="31" spans="2:10" x14ac:dyDescent="0.25">
      <c r="C31"/>
      <c r="D31"/>
      <c r="E31"/>
    </row>
    <row r="32" spans="2:10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 s="188"/>
    </row>
    <row r="41" spans="3:5" x14ac:dyDescent="0.25">
      <c r="C41" s="190"/>
      <c r="D41" s="191"/>
    </row>
    <row r="44" spans="3:5" x14ac:dyDescent="0.25">
      <c r="C44" s="188"/>
    </row>
    <row r="45" spans="3:5" x14ac:dyDescent="0.25">
      <c r="C45" s="189"/>
      <c r="D45" s="191"/>
    </row>
    <row r="47" spans="3:5" x14ac:dyDescent="0.25">
      <c r="C47" s="208"/>
    </row>
    <row r="48" spans="3:5" x14ac:dyDescent="0.25">
      <c r="C48" s="73"/>
    </row>
    <row r="49" spans="3:3" x14ac:dyDescent="0.25">
      <c r="C49" s="208"/>
    </row>
  </sheetData>
  <customSheetViews>
    <customSheetView guid="{28BE6562-61BE-42C3-B697-462A6F62428C}" topLeftCell="A14">
      <selection activeCell="I37" sqref="I37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00F68F5D-E7EC-4A9D-A8F7-19E9173D4D0E}" topLeftCell="A14">
      <selection activeCell="I37" sqref="I37"/>
      <pageMargins left="0.511811024" right="0.511811024" top="0.78740157499999996" bottom="0.78740157499999996" header="0.31496062000000002" footer="0.31496062000000002"/>
      <pageSetup paperSize="9" orientation="portrait" r:id="rId2"/>
    </customSheetView>
  </customSheetViews>
  <mergeCells count="9">
    <mergeCell ref="I2:J2"/>
    <mergeCell ref="B23:C23"/>
    <mergeCell ref="E17:F17"/>
    <mergeCell ref="E18:F18"/>
    <mergeCell ref="C1:D1"/>
    <mergeCell ref="B1:B2"/>
    <mergeCell ref="E1:H1"/>
    <mergeCell ref="B10:C10"/>
    <mergeCell ref="B17:C17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SEMANAS</vt:lpstr>
      <vt:lpstr>DASHBOARDS_prazo</vt:lpstr>
      <vt:lpstr>CONTROLE VISUAL</vt:lpstr>
      <vt:lpstr>BASE DE DADOS</vt:lpstr>
      <vt:lpstr>RITMO</vt:lpstr>
      <vt:lpstr>REPLAN - Agilean</vt:lpstr>
      <vt:lpstr>TD - curva s</vt:lpstr>
      <vt:lpstr>CURVA S</vt:lpstr>
      <vt:lpstr>INDICADORES</vt:lpstr>
      <vt:lpstr>Planilha2</vt:lpstr>
      <vt:lpstr>DASHBOARDS_custo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2021-09-21T13:45:11Z</dcterms:created>
  <dcterms:modified xsi:type="dcterms:W3CDTF">2021-12-08T16:33:38Z</dcterms:modified>
</cp:coreProperties>
</file>