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lo Bônus Adesão" sheetId="1" r:id="rId4"/>
    <sheet state="visible" name="Clube Seco" sheetId="2" r:id="rId5"/>
    <sheet state="visible" name="Milhas ou Cashback" sheetId="3" r:id="rId6"/>
    <sheet state="visible" name="Multiplica LATAM" sheetId="4" r:id="rId7"/>
    <sheet state="visible" name="Venda Passagem" sheetId="5" r:id="rId8"/>
    <sheet state="visible" name="Referencial de Passagem" sheetId="6" r:id="rId9"/>
    <sheet state="hidden" name="Boleto Santander" sheetId="7" r:id="rId10"/>
  </sheets>
  <definedNames/>
  <calcPr/>
  <extLst>
    <ext uri="GoogleSheetsCustomDataVersion2">
      <go:sheetsCustomData xmlns:go="http://customooxmlschemas.google.com/" r:id="rId11" roundtripDataChecksum="ICFwoMZazsiW64DzTccM3s33UZVYkfgY7wuvm/rOZlE="/>
    </ext>
  </extLst>
</workbook>
</file>

<file path=xl/sharedStrings.xml><?xml version="1.0" encoding="utf-8"?>
<sst xmlns="http://schemas.openxmlformats.org/spreadsheetml/2006/main" count="527" uniqueCount="191">
  <si>
    <t>Fator</t>
  </si>
  <si>
    <t>Mês</t>
  </si>
  <si>
    <t>Classic</t>
  </si>
  <si>
    <t>Plus</t>
  </si>
  <si>
    <t>Super</t>
  </si>
  <si>
    <t>Mega</t>
  </si>
  <si>
    <t>Top</t>
  </si>
  <si>
    <t>Bônus</t>
  </si>
  <si>
    <t>Valor investido</t>
  </si>
  <si>
    <t>Custo "Ponteiro"</t>
  </si>
  <si>
    <t>Custo Milheiro - Transferência 100%</t>
  </si>
  <si>
    <t>Mutável</t>
  </si>
  <si>
    <t>Fórmula</t>
  </si>
  <si>
    <t>Dados financeiros de clubes e anuidade</t>
  </si>
  <si>
    <t>Valor de Mercado Milheiro</t>
  </si>
  <si>
    <t>Insira o valor de mercado do milheiro</t>
  </si>
  <si>
    <t>Pontuação cartão (pts/USD)</t>
  </si>
  <si>
    <t>Cuidado com a informação de cartão co-branded que já
é em milhas por R$ ou USD</t>
  </si>
  <si>
    <t>Clube TudoAzul 1000</t>
  </si>
  <si>
    <t>Insira o valor do clube de fidelidade (mensal)</t>
  </si>
  <si>
    <t>Cotação dólar</t>
  </si>
  <si>
    <t>Clube TudoAzul Seco</t>
  </si>
  <si>
    <t>Pontuação cartão (pts/BRL)</t>
  </si>
  <si>
    <t>Clube Smiles 1000</t>
  </si>
  <si>
    <t>Clube Smiles Seco</t>
  </si>
  <si>
    <t>Gasto Mensal</t>
  </si>
  <si>
    <t>Pontos Mensal</t>
  </si>
  <si>
    <t>Anuidade</t>
  </si>
  <si>
    <t>Insira o valor da anuidade (pode ser isenta)</t>
  </si>
  <si>
    <t>Membro do Clube</t>
  </si>
  <si>
    <t>Não-membro</t>
  </si>
  <si>
    <t>FInanciamento Seco Total</t>
  </si>
  <si>
    <t>Transferência</t>
  </si>
  <si>
    <t>Milhas Mensal</t>
  </si>
  <si>
    <t>Valor gerado</t>
  </si>
  <si>
    <t>Importante que este valor já consiga financiar a anuidade.
E a diferença entre membro e não-membro financie Clubes Secos</t>
  </si>
  <si>
    <t>Diferença clube vs. 
não-clube</t>
  </si>
  <si>
    <t>Ideal é que financie o valor dos Clubes Secos.
Mas nunca devemos esquecer outros benefícios dos Clubes de Fidelidade</t>
  </si>
  <si>
    <t>Exceções</t>
  </si>
  <si>
    <t>1. Cartões Cobranded - ex: Tudo Azul Visa Infinite - já pontua em milhas</t>
  </si>
  <si>
    <t>3,5milhas/dólar</t>
  </si>
  <si>
    <t>Mesma coisa que 1,75pontos/dólar</t>
  </si>
  <si>
    <t>Simulação cartão de crédito</t>
  </si>
  <si>
    <t>Exemplo</t>
  </si>
  <si>
    <t>C6  + Pontos</t>
  </si>
  <si>
    <t>C6 Carbon</t>
  </si>
  <si>
    <t>Dux</t>
  </si>
  <si>
    <t>2. Cartões em pts/R$ - ex: PDA = 1pt/R$</t>
  </si>
  <si>
    <t>Pontuação (pts/dólar)</t>
  </si>
  <si>
    <t>Se 1dólar = R$5,00 -&gt; ele pontua em 5pts/dólar = 1pt/R$</t>
  </si>
  <si>
    <t>Pontuação (pts/R$)</t>
  </si>
  <si>
    <t>% transferência bonificada</t>
  </si>
  <si>
    <t>Milhas/R$ gerados na transferência</t>
  </si>
  <si>
    <t>Gasto hipotético R$1000</t>
  </si>
  <si>
    <t>Milheiros geradas com R$1000</t>
  </si>
  <si>
    <t>Vendendo milhas</t>
  </si>
  <si>
    <t>Milhasback</t>
  </si>
  <si>
    <t>Conta Cartão</t>
  </si>
  <si>
    <t>Cashback Oferecido (%)</t>
  </si>
  <si>
    <t>Insira o Cashback prometido pelo cartão</t>
  </si>
  <si>
    <t>Milhasback do cartão (%)</t>
  </si>
  <si>
    <t>Insira o valor calculado para milhasback do cartão que você simulou na tabela de cima</t>
  </si>
  <si>
    <t>Conta Produto</t>
  </si>
  <si>
    <t>Valor do Produto (R$)</t>
  </si>
  <si>
    <t>Insira o valor do produto</t>
  </si>
  <si>
    <t>Oferta de milhas/R$</t>
  </si>
  <si>
    <t>Lembrar que se for pts/R$, a oferta de milhas/R$ seria o dobro do ofertado em pts/R$
Ex: compra Livelo 10pts/R$ = 20milhas/R$ considerando transferência 100%</t>
  </si>
  <si>
    <t>Milhasback (em milhas)</t>
  </si>
  <si>
    <t>Insira o valor de cashback ofertado</t>
  </si>
  <si>
    <t>Milhasback da compra (%)</t>
  </si>
  <si>
    <t>Plano</t>
  </si>
  <si>
    <t>Turbo</t>
  </si>
  <si>
    <t>Normal</t>
  </si>
  <si>
    <t>KM Vantagem Promo</t>
  </si>
  <si>
    <t>KM Vantagem Normal/ Europa</t>
  </si>
  <si>
    <t>Operação Europa/ Turbo</t>
  </si>
  <si>
    <t>Bônus transf.</t>
  </si>
  <si>
    <t>Livelo</t>
  </si>
  <si>
    <t>Multiplica número</t>
  </si>
  <si>
    <t>Km Vantangem</t>
  </si>
  <si>
    <t>Multiplica fator</t>
  </si>
  <si>
    <t>Bônus multiplica</t>
  </si>
  <si>
    <t>Pontos Operação</t>
  </si>
  <si>
    <t>Pontos total</t>
  </si>
  <si>
    <t>Investimento pontos</t>
  </si>
  <si>
    <t>Investimento plano</t>
  </si>
  <si>
    <t>Investimento multiplica</t>
  </si>
  <si>
    <t>Milheiro</t>
  </si>
  <si>
    <t>TOTAL</t>
  </si>
  <si>
    <t>Venda de Passagem em Wallet</t>
  </si>
  <si>
    <t>Venda de Passagens em Milhas</t>
  </si>
  <si>
    <t>CM</t>
  </si>
  <si>
    <t>Custo Milheiro</t>
  </si>
  <si>
    <t>Insira o valor de seu custo de milheiro</t>
  </si>
  <si>
    <t>Geração da Wallet</t>
  </si>
  <si>
    <t>M</t>
  </si>
  <si>
    <t>Preço em milhas da Passagem</t>
  </si>
  <si>
    <t>Insira o valor em milhas da passagem em questão</t>
  </si>
  <si>
    <t>Taxas</t>
  </si>
  <si>
    <t>Insira as taxas pra emissão</t>
  </si>
  <si>
    <t>Preço da Concorrência</t>
  </si>
  <si>
    <t>123 Milhas, Skyscanner, ou própria cia aérea</t>
  </si>
  <si>
    <t>PP</t>
  </si>
  <si>
    <t>Preço da Latam em R$</t>
  </si>
  <si>
    <t>PA</t>
  </si>
  <si>
    <t>Preço atribuído ao Milheiro</t>
  </si>
  <si>
    <t>PROCURE POR PASSAGENS DE ALTO PA!!!</t>
  </si>
  <si>
    <t>ET</t>
  </si>
  <si>
    <t>Investimento</t>
  </si>
  <si>
    <t>Obs: taxa de embarque volta para conta corrente</t>
  </si>
  <si>
    <t>Valor em Wallet</t>
  </si>
  <si>
    <t>Preço do seu milheiro na oferta</t>
  </si>
  <si>
    <t>Insira um valor entre Preço atribuído e Custo de Milheiro para ter lucro, e fugir da concorrência!</t>
  </si>
  <si>
    <t>Espaço de trabalho</t>
  </si>
  <si>
    <t>PV</t>
  </si>
  <si>
    <t>Valor da sua oferta pro cliente</t>
  </si>
  <si>
    <t>SEU PREÇO, PROPOSTA PARA O CLIENTE!</t>
  </si>
  <si>
    <t>Comissão</t>
  </si>
  <si>
    <t>Preço LATAM</t>
  </si>
  <si>
    <t>I</t>
  </si>
  <si>
    <t>Imposto (Simples Nacional)</t>
  </si>
  <si>
    <t>6% sob comissão</t>
  </si>
  <si>
    <t>Seu Preço</t>
  </si>
  <si>
    <t>Tem de ser maior que o investimento</t>
  </si>
  <si>
    <t>Deságio</t>
  </si>
  <si>
    <t xml:space="preserve">Lucro </t>
  </si>
  <si>
    <t>6% sob faturamento</t>
  </si>
  <si>
    <t>Venda em Voucher</t>
  </si>
  <si>
    <t>Valor da Passagem na CIA</t>
  </si>
  <si>
    <t>Insira o valor da passagem na companhia aérea - Voucher se aplica sob esse valor</t>
  </si>
  <si>
    <t>Valor do Voucher</t>
  </si>
  <si>
    <t>Valor que será abatido da compra da passagem</t>
  </si>
  <si>
    <t>Valor de Compra do Voucher</t>
  </si>
  <si>
    <t>Sua proposta de compra pelo voucher do ofertante - ex: advogado</t>
  </si>
  <si>
    <t>Preço da sua Venda</t>
  </si>
  <si>
    <t>Insira um valor entre Preço na cia aérea e seu valor de compra do voucher para ter lucro</t>
  </si>
  <si>
    <t>Região 1</t>
  </si>
  <si>
    <t>Região 2</t>
  </si>
  <si>
    <t>Dinheiro</t>
  </si>
  <si>
    <t>Latam</t>
  </si>
  <si>
    <t>Arred.</t>
  </si>
  <si>
    <t>Azul</t>
  </si>
  <si>
    <t>Smiles</t>
  </si>
  <si>
    <t>Sul</t>
  </si>
  <si>
    <t>Sudeste</t>
  </si>
  <si>
    <t>Nordeste</t>
  </si>
  <si>
    <t>Norte</t>
  </si>
  <si>
    <t>Centro-Oeste</t>
  </si>
  <si>
    <t>Obs Noronha: voo das cias  que não pousam</t>
  </si>
  <si>
    <t>Noronha</t>
  </si>
  <si>
    <t>Muitas das vezes menor preço escala noturna - desmembre a passagem!</t>
  </si>
  <si>
    <t>AA</t>
  </si>
  <si>
    <t>TAP</t>
  </si>
  <si>
    <t>Iberia</t>
  </si>
  <si>
    <t>Taxa média</t>
  </si>
  <si>
    <t>Brasil</t>
  </si>
  <si>
    <t>América do Sul - Sul (Uruguai, Chile, Argentina, Bolivia)</t>
  </si>
  <si>
    <t>x</t>
  </si>
  <si>
    <t>Dedução</t>
  </si>
  <si>
    <t>Latam = 20</t>
  </si>
  <si>
    <t>Azul = 30</t>
  </si>
  <si>
    <t>Obs: Azul limitado a Uruguai</t>
  </si>
  <si>
    <t>Smiles = 35</t>
  </si>
  <si>
    <t>América do Sul - Norte (Peru, Equador, Colombia)</t>
  </si>
  <si>
    <t>Latam = 15</t>
  </si>
  <si>
    <t>Azul = 20</t>
  </si>
  <si>
    <t>Smiles = 20</t>
  </si>
  <si>
    <t>Caribe + México</t>
  </si>
  <si>
    <t>Obs: Azul pode ter que usar Interline</t>
  </si>
  <si>
    <t>Smiles = 25</t>
  </si>
  <si>
    <t>América do Norte
(EUA e Canadá)</t>
  </si>
  <si>
    <t>Europa</t>
  </si>
  <si>
    <t>África</t>
  </si>
  <si>
    <t>Latam = 12</t>
  </si>
  <si>
    <t>Obs: Azul apenas via Interline</t>
  </si>
  <si>
    <t>Ásia</t>
  </si>
  <si>
    <t>Oceania</t>
  </si>
  <si>
    <t>Latam = 25</t>
  </si>
  <si>
    <t>Azul = 40</t>
  </si>
  <si>
    <t>Smiles = 45</t>
  </si>
  <si>
    <t xml:space="preserve"> </t>
  </si>
  <si>
    <t>Valor do Boleto</t>
  </si>
  <si>
    <t>Dias entre pagamento e vencimento da fatura</t>
  </si>
  <si>
    <t>Taxa total</t>
  </si>
  <si>
    <t>Taxa por boleto</t>
  </si>
  <si>
    <t>Taxa fixa</t>
  </si>
  <si>
    <t>Taxa variável (ao dia)</t>
  </si>
  <si>
    <t>Insira pontuação do cartão</t>
  </si>
  <si>
    <t>Valor do boleto</t>
  </si>
  <si>
    <t>Milheiros gerados no boleto</t>
  </si>
  <si>
    <t>Efeito Esfera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</si>
</sst>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[$$]#,##0.00"/>
    <numFmt numFmtId="166" formatCode="[$R$ -416]#,##0"/>
    <numFmt numFmtId="167" formatCode="dd/mm"/>
    <numFmt numFmtId="168" formatCode="[$€]#,##0.00"/>
    <numFmt numFmtId="169" formatCode="0.0000%"/>
  </numFmts>
  <fonts count="38">
    <font>
      <sz val="10.0"/>
      <color rgb="FF000000"/>
      <name val="Arial"/>
      <scheme val="minor"/>
    </font>
    <font>
      <color theme="1"/>
      <name val="Arial"/>
    </font>
    <font>
      <color theme="0"/>
      <name val="Arial"/>
    </font>
    <font>
      <b/>
      <color theme="0"/>
      <name val="Arial"/>
    </font>
    <font>
      <b/>
      <color rgb="FFFFFFFF"/>
      <name val="Arial"/>
    </font>
    <font>
      <b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i/>
      <sz val="8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i/>
      <color theme="1"/>
      <name val="Arial"/>
    </font>
    <font>
      <b/>
      <sz val="13.0"/>
      <color theme="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i/>
      <color rgb="FF000000"/>
      <name val="Arial"/>
    </font>
    <font>
      <color rgb="FF000000"/>
      <name val="Arial"/>
    </font>
    <font>
      <sz val="8.0"/>
      <color theme="1"/>
      <name val="Arial"/>
    </font>
    <font>
      <color rgb="FFFFFFFF"/>
      <name val="Arial"/>
    </font>
    <font>
      <sz val="7.0"/>
      <color theme="1"/>
      <name val="Arial"/>
    </font>
    <font>
      <b/>
      <sz val="12.0"/>
      <color theme="1"/>
      <name val="Arial"/>
    </font>
    <font>
      <b/>
      <color rgb="FF000000"/>
      <name val="Arial"/>
    </font>
    <font>
      <sz val="9.0"/>
      <color theme="1"/>
      <name val="Arial"/>
    </font>
    <font>
      <b/>
      <i/>
      <color theme="1"/>
      <name val="Arial"/>
    </font>
    <font>
      <b/>
      <i/>
      <sz val="8.0"/>
      <color theme="1"/>
      <name val="Arial"/>
    </font>
    <font>
      <b/>
      <sz val="18.0"/>
      <color rgb="FFFFFFFF"/>
      <name val="Arial"/>
    </font>
    <font>
      <b/>
      <sz val="18.0"/>
      <color rgb="FF6AA84F"/>
      <name val="Arial"/>
    </font>
    <font>
      <b/>
      <sz val="18.0"/>
      <color rgb="FFCC0000"/>
      <name val="Arial"/>
    </font>
    <font>
      <b/>
      <sz val="14.0"/>
      <color rgb="FFCC0000"/>
      <name val="Arial"/>
    </font>
    <font>
      <b/>
      <sz val="14.0"/>
      <color rgb="FFFFFFFF"/>
      <name val="Arial"/>
    </font>
    <font>
      <b/>
      <sz val="18.0"/>
      <color rgb="FFFF9900"/>
      <name val="Arial"/>
    </font>
    <font>
      <b/>
      <sz val="14.0"/>
      <color rgb="FFFF9900"/>
      <name val="Arial"/>
    </font>
    <font>
      <b/>
      <sz val="20.0"/>
      <color rgb="FF000000"/>
      <name val="Arial"/>
    </font>
    <font>
      <sz val="14.0"/>
      <color rgb="FF000000"/>
      <name val="Arial"/>
    </font>
    <font>
      <i/>
      <sz val="14.0"/>
      <color rgb="FF000000"/>
      <name val="Arial"/>
    </font>
    <font>
      <sz val="14.0"/>
      <color theme="1"/>
      <name val="Arial"/>
    </font>
    <font>
      <b/>
      <sz val="14.0"/>
      <color rgb="FF000000"/>
      <name val="Arial"/>
    </font>
  </fonts>
  <fills count="31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999999"/>
        <bgColor rgb="FF99999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073763"/>
        <bgColor rgb="FF073763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3" numFmtId="0" xfId="0" applyBorder="1" applyFill="1" applyFont="1"/>
    <xf borderId="1" fillId="3" fontId="4" numFmtId="0" xfId="0" applyBorder="1" applyFont="1"/>
    <xf borderId="1" fillId="0" fontId="1" numFmtId="0" xfId="0" applyBorder="1" applyFont="1"/>
    <xf borderId="0" fillId="0" fontId="1" numFmtId="164" xfId="0" applyFont="1" applyNumberFormat="1"/>
    <xf borderId="1" fillId="4" fontId="1" numFmtId="0" xfId="0" applyBorder="1" applyFill="1" applyFont="1"/>
    <xf borderId="0" fillId="5" fontId="1" numFmtId="0" xfId="0" applyFill="1" applyFont="1"/>
    <xf borderId="1" fillId="0" fontId="1" numFmtId="0" xfId="0" applyAlignment="1" applyBorder="1" applyFont="1">
      <alignment horizontal="right"/>
    </xf>
    <xf borderId="1" fillId="0" fontId="1" numFmtId="164" xfId="0" applyBorder="1" applyFont="1" applyNumberFormat="1"/>
    <xf borderId="1" fillId="6" fontId="5" numFmtId="0" xfId="0" applyAlignment="1" applyBorder="1" applyFill="1" applyFont="1">
      <alignment horizontal="center" shrinkToFit="0" vertical="center" wrapText="1"/>
    </xf>
    <xf borderId="1" fillId="6" fontId="5" numFmtId="164" xfId="0" applyAlignment="1" applyBorder="1" applyFont="1" applyNumberForma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0" fillId="0" fontId="1" numFmtId="165" xfId="0" applyFont="1" applyNumberFormat="1"/>
    <xf borderId="1" fillId="7" fontId="1" numFmtId="164" xfId="0" applyBorder="1" applyFill="1" applyFont="1" applyNumberFormat="1"/>
    <xf borderId="1" fillId="8" fontId="1" numFmtId="164" xfId="0" applyBorder="1" applyFill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1" fillId="2" fontId="3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1" fillId="2" fontId="3" numFmtId="0" xfId="0" applyAlignment="1" applyBorder="1" applyFont="1">
      <alignment vertical="center"/>
    </xf>
    <xf borderId="1" fillId="7" fontId="1" numFmtId="4" xfId="0" applyAlignment="1" applyBorder="1" applyFont="1" applyNumberFormat="1">
      <alignment vertical="center"/>
    </xf>
    <xf borderId="1" fillId="9" fontId="5" numFmtId="0" xfId="0" applyBorder="1" applyFill="1" applyFont="1"/>
    <xf borderId="1" fillId="10" fontId="5" numFmtId="0" xfId="0" applyBorder="1" applyFill="1" applyFont="1"/>
    <xf borderId="1" fillId="8" fontId="1" numFmtId="4" xfId="0" applyBorder="1" applyFont="1" applyNumberFormat="1"/>
    <xf borderId="1" fillId="11" fontId="5" numFmtId="0" xfId="0" applyBorder="1" applyFill="1" applyFont="1"/>
    <xf borderId="1" fillId="12" fontId="5" numFmtId="0" xfId="0" applyBorder="1" applyFill="1" applyFont="1"/>
    <xf borderId="1" fillId="13" fontId="1" numFmtId="1" xfId="0" applyBorder="1" applyFill="1" applyFont="1" applyNumberFormat="1"/>
    <xf borderId="1" fillId="14" fontId="5" numFmtId="0" xfId="0" applyBorder="1" applyFill="1" applyFont="1"/>
    <xf borderId="0" fillId="5" fontId="1" numFmtId="164" xfId="0" applyFont="1" applyNumberFormat="1"/>
    <xf borderId="2" fillId="6" fontId="5" numFmtId="0" xfId="0" applyAlignment="1" applyBorder="1" applyFont="1">
      <alignment horizontal="center"/>
    </xf>
    <xf borderId="3" fillId="0" fontId="9" numFmtId="0" xfId="0" applyBorder="1" applyFont="1"/>
    <xf borderId="2" fillId="15" fontId="5" numFmtId="0" xfId="0" applyAlignment="1" applyBorder="1" applyFill="1" applyFont="1">
      <alignment horizontal="center"/>
    </xf>
    <xf borderId="1" fillId="15" fontId="3" numFmtId="0" xfId="0" applyBorder="1" applyFont="1"/>
    <xf borderId="1" fillId="7" fontId="1" numFmtId="9" xfId="0" applyBorder="1" applyFont="1" applyNumberFormat="1"/>
    <xf borderId="1" fillId="8" fontId="1" numFmtId="3" xfId="0" applyBorder="1" applyFont="1" applyNumberFormat="1"/>
    <xf borderId="1" fillId="2" fontId="10" numFmtId="0" xfId="0" applyBorder="1" applyFont="1"/>
    <xf borderId="1" fillId="16" fontId="11" numFmtId="164" xfId="0" applyBorder="1" applyFill="1" applyFont="1" applyNumberFormat="1"/>
    <xf borderId="0" fillId="0" fontId="12" numFmtId="0" xfId="0" applyFont="1"/>
    <xf borderId="1" fillId="2" fontId="4" numFmtId="0" xfId="0" applyBorder="1" applyFont="1"/>
    <xf borderId="1" fillId="11" fontId="13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5" fontId="16" numFmtId="0" xfId="0" applyFont="1"/>
    <xf borderId="0" fillId="5" fontId="17" numFmtId="0" xfId="0" applyFont="1"/>
    <xf borderId="0" fillId="17" fontId="4" numFmtId="0" xfId="0" applyFill="1" applyFont="1"/>
    <xf borderId="0" fillId="5" fontId="18" numFmtId="0" xfId="0" applyFont="1"/>
    <xf borderId="0" fillId="5" fontId="19" numFmtId="0" xfId="0" applyFont="1"/>
    <xf borderId="0" fillId="5" fontId="1" numFmtId="0" xfId="0" applyAlignment="1" applyFont="1">
      <alignment horizontal="center"/>
    </xf>
    <xf borderId="0" fillId="5" fontId="5" numFmtId="0" xfId="0" applyFont="1"/>
    <xf borderId="0" fillId="5" fontId="1" numFmtId="0" xfId="0" applyAlignment="1" applyFont="1">
      <alignment shrinkToFit="0" vertical="center" wrapText="1"/>
    </xf>
    <xf borderId="4" fillId="18" fontId="3" numFmtId="0" xfId="0" applyAlignment="1" applyBorder="1" applyFill="1" applyFont="1">
      <alignment vertical="center"/>
    </xf>
    <xf borderId="1" fillId="7" fontId="1" numFmtId="4" xfId="0" applyAlignment="1" applyBorder="1" applyFont="1" applyNumberFormat="1">
      <alignment horizontal="center" shrinkToFit="0" vertical="center" wrapText="1"/>
    </xf>
    <xf borderId="1" fillId="7" fontId="1" numFmtId="4" xfId="0" applyAlignment="1" applyBorder="1" applyFont="1" applyNumberFormat="1">
      <alignment horizontal="center"/>
    </xf>
    <xf borderId="1" fillId="19" fontId="1" numFmtId="4" xfId="0" applyAlignment="1" applyBorder="1" applyFill="1" applyFont="1" applyNumberFormat="1">
      <alignment shrinkToFit="0" vertical="center" wrapText="1"/>
    </xf>
    <xf borderId="0" fillId="5" fontId="1" numFmtId="164" xfId="0" applyAlignment="1" applyFont="1" applyNumberFormat="1">
      <alignment horizontal="center"/>
    </xf>
    <xf borderId="5" fillId="18" fontId="4" numFmtId="0" xfId="0" applyAlignment="1" applyBorder="1" applyFont="1">
      <alignment vertical="center"/>
    </xf>
    <xf borderId="2" fillId="7" fontId="17" numFmtId="9" xfId="0" applyAlignment="1" applyBorder="1" applyFont="1" applyNumberFormat="1">
      <alignment horizontal="center"/>
    </xf>
    <xf borderId="6" fillId="0" fontId="9" numFmtId="0" xfId="0" applyBorder="1" applyFont="1"/>
    <xf borderId="4" fillId="18" fontId="4" numFmtId="0" xfId="0" applyAlignment="1" applyBorder="1" applyFont="1">
      <alignment vertical="center"/>
    </xf>
    <xf borderId="1" fillId="19" fontId="17" numFmtId="2" xfId="0" applyBorder="1" applyFont="1" applyNumberFormat="1"/>
    <xf borderId="2" fillId="20" fontId="17" numFmtId="164" xfId="0" applyAlignment="1" applyBorder="1" applyFill="1" applyFont="1" applyNumberFormat="1">
      <alignment horizontal="center"/>
    </xf>
    <xf borderId="0" fillId="5" fontId="17" numFmtId="164" xfId="0" applyFont="1" applyNumberFormat="1"/>
    <xf borderId="0" fillId="5" fontId="20" numFmtId="0" xfId="0" applyFont="1"/>
    <xf borderId="0" fillId="5" fontId="17" numFmtId="0" xfId="0" applyAlignment="1" applyFont="1">
      <alignment vertical="center"/>
    </xf>
    <xf borderId="1" fillId="19" fontId="1" numFmtId="4" xfId="0" applyAlignment="1" applyBorder="1" applyFont="1" applyNumberFormat="1">
      <alignment horizontal="center" shrinkToFit="0" vertical="center" wrapText="1"/>
    </xf>
    <xf borderId="5" fillId="18" fontId="3" numFmtId="0" xfId="0" applyAlignment="1" applyBorder="1" applyFont="1">
      <alignment vertical="center"/>
    </xf>
    <xf borderId="1" fillId="19" fontId="1" numFmtId="166" xfId="0" applyAlignment="1" applyBorder="1" applyFont="1" applyNumberFormat="1">
      <alignment horizontal="center" shrinkToFit="0" vertical="center" wrapText="1"/>
    </xf>
    <xf borderId="1" fillId="6" fontId="21" numFmtId="10" xfId="0" applyAlignment="1" applyBorder="1" applyFont="1" applyNumberFormat="1">
      <alignment horizontal="center" shrinkToFit="0" vertical="center" wrapText="1"/>
    </xf>
    <xf borderId="0" fillId="5" fontId="17" numFmtId="167" xfId="0" applyFont="1" applyNumberFormat="1"/>
    <xf borderId="0" fillId="5" fontId="22" numFmtId="0" xfId="0" applyFont="1"/>
    <xf borderId="0" fillId="0" fontId="1" numFmtId="10" xfId="0" applyFont="1" applyNumberFormat="1"/>
    <xf borderId="1" fillId="7" fontId="1" numFmtId="10" xfId="0" applyBorder="1" applyFont="1" applyNumberFormat="1"/>
    <xf borderId="0" fillId="5" fontId="12" numFmtId="0" xfId="0" applyAlignment="1" applyFont="1">
      <alignment shrinkToFit="0" vertical="center" wrapText="0"/>
    </xf>
    <xf borderId="0" fillId="17" fontId="17" numFmtId="167" xfId="0" applyFont="1" applyNumberFormat="1"/>
    <xf borderId="0" fillId="17" fontId="17" numFmtId="0" xfId="0" applyFont="1"/>
    <xf borderId="0" fillId="17" fontId="1" numFmtId="0" xfId="0" applyAlignment="1" applyFont="1">
      <alignment shrinkToFit="0" vertical="center" wrapText="1"/>
    </xf>
    <xf borderId="0" fillId="17" fontId="22" numFmtId="0" xfId="0" applyFont="1"/>
    <xf borderId="0" fillId="17" fontId="17" numFmtId="4" xfId="0" applyAlignment="1" applyFont="1" applyNumberFormat="1">
      <alignment horizontal="center" vertical="center"/>
    </xf>
    <xf borderId="0" fillId="17" fontId="1" numFmtId="0" xfId="0" applyAlignment="1" applyFont="1">
      <alignment horizontal="center" shrinkToFit="0" vertical="center" wrapText="1"/>
    </xf>
    <xf borderId="0" fillId="17" fontId="17" numFmtId="168" xfId="0" applyAlignment="1" applyFont="1" applyNumberFormat="1">
      <alignment horizontal="center" vertical="center"/>
    </xf>
    <xf borderId="0" fillId="17" fontId="1" numFmtId="164" xfId="0" applyAlignment="1" applyFont="1" applyNumberFormat="1">
      <alignment horizontal="center" shrinkToFit="0" vertical="center" wrapText="1"/>
    </xf>
    <xf borderId="0" fillId="17" fontId="17" numFmtId="164" xfId="0" applyAlignment="1" applyFont="1" applyNumberFormat="1">
      <alignment horizontal="center" vertical="center"/>
    </xf>
    <xf borderId="0" fillId="17" fontId="17" numFmtId="164" xfId="0" applyFont="1" applyNumberFormat="1"/>
    <xf borderId="0" fillId="17" fontId="17" numFmtId="10" xfId="0" applyFont="1" applyNumberFormat="1"/>
    <xf borderId="1" fillId="7" fontId="23" numFmtId="166" xfId="0" applyBorder="1" applyFont="1" applyNumberFormat="1"/>
    <xf borderId="0" fillId="17" fontId="1" numFmtId="0" xfId="0" applyFont="1"/>
    <xf borderId="0" fillId="17" fontId="1" numFmtId="164" xfId="0" applyFont="1" applyNumberFormat="1"/>
    <xf borderId="1" fillId="7" fontId="23" numFmtId="3" xfId="0" applyBorder="1" applyFont="1" applyNumberFormat="1"/>
    <xf borderId="1" fillId="8" fontId="23" numFmtId="3" xfId="0" applyBorder="1" applyFont="1" applyNumberFormat="1"/>
    <xf borderId="1" fillId="11" fontId="3" numFmtId="10" xfId="0" applyBorder="1" applyFont="1" applyNumberFormat="1"/>
    <xf borderId="0" fillId="0" fontId="1" numFmtId="167" xfId="0" applyFont="1" applyNumberFormat="1"/>
    <xf borderId="0" fillId="17" fontId="17" numFmtId="0" xfId="0" applyAlignment="1" applyFont="1">
      <alignment vertical="center"/>
    </xf>
    <xf borderId="0" fillId="17" fontId="1" numFmtId="167" xfId="0" applyFont="1" applyNumberFormat="1"/>
    <xf borderId="0" fillId="17" fontId="17" numFmtId="164" xfId="0" applyAlignment="1" applyFont="1" applyNumberFormat="1">
      <alignment vertical="center"/>
    </xf>
    <xf borderId="1" fillId="17" fontId="5" numFmtId="164" xfId="0" applyBorder="1" applyFont="1" applyNumberFormat="1"/>
    <xf borderId="1" fillId="17" fontId="5" numFmtId="0" xfId="0" applyBorder="1" applyFont="1"/>
    <xf borderId="1" fillId="17" fontId="5" numFmtId="0" xfId="0" applyAlignment="1" applyBorder="1" applyFont="1">
      <alignment horizontal="center"/>
    </xf>
    <xf borderId="1" fillId="0" fontId="5" numFmtId="0" xfId="0" applyBorder="1" applyFont="1"/>
    <xf borderId="1" fillId="17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21" fontId="1" numFmtId="0" xfId="0" applyAlignment="1" applyBorder="1" applyFill="1" applyFont="1">
      <alignment horizontal="center"/>
    </xf>
    <xf borderId="1" fillId="22" fontId="1" numFmtId="0" xfId="0" applyAlignment="1" applyBorder="1" applyFill="1" applyFont="1">
      <alignment horizontal="center"/>
    </xf>
    <xf borderId="1" fillId="23" fontId="1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21" fontId="5" numFmtId="164" xfId="0" applyAlignment="1" applyBorder="1" applyFont="1" applyNumberFormat="1">
      <alignment horizontal="center"/>
    </xf>
    <xf borderId="0" fillId="17" fontId="1" numFmtId="0" xfId="0" applyAlignment="1" applyFont="1">
      <alignment horizontal="center"/>
    </xf>
    <xf borderId="1" fillId="24" fontId="5" numFmtId="0" xfId="0" applyAlignment="1" applyBorder="1" applyFill="1" applyFont="1">
      <alignment horizontal="center"/>
    </xf>
    <xf borderId="1" fillId="17" fontId="1" numFmtId="164" xfId="0" applyAlignment="1" applyBorder="1" applyFont="1" applyNumberFormat="1">
      <alignment horizontal="center"/>
    </xf>
    <xf borderId="1" fillId="22" fontId="1" numFmtId="164" xfId="0" applyAlignment="1" applyBorder="1" applyFont="1" applyNumberFormat="1">
      <alignment horizontal="center"/>
    </xf>
    <xf borderId="0" fillId="17" fontId="5" numFmtId="0" xfId="0" applyFont="1"/>
    <xf borderId="0" fillId="17" fontId="1" numFmtId="164" xfId="0" applyAlignment="1" applyFont="1" applyNumberFormat="1">
      <alignment horizontal="center"/>
    </xf>
    <xf borderId="0" fillId="17" fontId="5" numFmtId="164" xfId="0" applyFont="1" applyNumberFormat="1"/>
    <xf borderId="0" fillId="17" fontId="3" numFmtId="0" xfId="0" applyFont="1"/>
    <xf borderId="0" fillId="17" fontId="1" numFmtId="3" xfId="0" applyFont="1" applyNumberFormat="1"/>
    <xf borderId="0" fillId="17" fontId="6" numFmtId="0" xfId="0" applyAlignment="1" applyFont="1">
      <alignment horizontal="center" vertical="center"/>
    </xf>
    <xf borderId="0" fillId="17" fontId="10" numFmtId="0" xfId="0" applyFont="1"/>
    <xf borderId="0" fillId="17" fontId="11" numFmtId="164" xfId="0" applyFont="1" applyNumberFormat="1"/>
    <xf borderId="0" fillId="17" fontId="8" numFmtId="0" xfId="0" applyFont="1"/>
    <xf borderId="0" fillId="17" fontId="12" numFmtId="0" xfId="0" applyFont="1"/>
    <xf borderId="0" fillId="17" fontId="13" numFmtId="164" xfId="0" applyAlignment="1" applyFont="1" applyNumberFormat="1">
      <alignment horizontal="center" vertical="center"/>
    </xf>
    <xf borderId="0" fillId="17" fontId="1" numFmtId="10" xfId="0" applyFont="1" applyNumberFormat="1"/>
    <xf borderId="0" fillId="17" fontId="24" numFmtId="0" xfId="0" applyAlignment="1" applyFont="1">
      <alignment horizontal="center"/>
    </xf>
    <xf borderId="0" fillId="17" fontId="19" numFmtId="164" xfId="0" applyFont="1" applyNumberFormat="1"/>
    <xf borderId="0" fillId="17" fontId="25" numFmtId="0" xfId="0" applyFont="1"/>
    <xf borderId="0" fillId="17" fontId="7" numFmtId="0" xfId="0" applyAlignment="1" applyFont="1">
      <alignment horizontal="center"/>
    </xf>
    <xf borderId="0" fillId="0" fontId="5" numFmtId="0" xfId="0" applyFont="1"/>
    <xf borderId="0" fillId="17" fontId="1" numFmtId="0" xfId="0" applyAlignment="1" applyFont="1">
      <alignment vertical="center"/>
    </xf>
    <xf borderId="0" fillId="17" fontId="3" numFmtId="0" xfId="0" applyAlignment="1" applyFont="1">
      <alignment vertical="center"/>
    </xf>
    <xf borderId="0" fillId="17" fontId="1" numFmtId="4" xfId="0" applyAlignment="1" applyFont="1" applyNumberFormat="1">
      <alignment vertical="center"/>
    </xf>
    <xf borderId="0" fillId="0" fontId="24" numFmtId="0" xfId="0" applyAlignment="1" applyFont="1">
      <alignment horizontal="center"/>
    </xf>
    <xf borderId="1" fillId="25" fontId="5" numFmtId="0" xfId="0" applyBorder="1" applyFill="1" applyFont="1"/>
    <xf borderId="1" fillId="7" fontId="1" numFmtId="3" xfId="0" applyBorder="1" applyFont="1" applyNumberFormat="1"/>
    <xf borderId="0" fillId="17" fontId="1" numFmtId="4" xfId="0" applyFont="1" applyNumberFormat="1"/>
    <xf borderId="0" fillId="17" fontId="1" numFmtId="1" xfId="0" applyFont="1" applyNumberFormat="1"/>
    <xf borderId="0" fillId="26" fontId="4" numFmtId="0" xfId="0" applyFill="1" applyFont="1"/>
    <xf borderId="0" fillId="26" fontId="19" numFmtId="164" xfId="0" applyFont="1" applyNumberFormat="1"/>
    <xf borderId="1" fillId="27" fontId="5" numFmtId="0" xfId="0" applyBorder="1" applyFill="1" applyFont="1"/>
    <xf borderId="1" fillId="8" fontId="5" numFmtId="164" xfId="0" applyBorder="1" applyFont="1" applyNumberFormat="1"/>
    <xf borderId="0" fillId="17" fontId="5" numFmtId="0" xfId="0" applyAlignment="1" applyFont="1">
      <alignment horizontal="center"/>
    </xf>
    <xf borderId="0" fillId="17" fontId="1" numFmtId="9" xfId="0" applyFont="1" applyNumberFormat="1"/>
    <xf borderId="0" fillId="0" fontId="25" numFmtId="0" xfId="0" applyFont="1"/>
    <xf borderId="1" fillId="8" fontId="1" numFmtId="10" xfId="0" applyBorder="1" applyFont="1" applyNumberFormat="1"/>
    <xf borderId="1" fillId="28" fontId="5" numFmtId="164" xfId="0" applyBorder="1" applyFill="1" applyFont="1" applyNumberFormat="1"/>
    <xf borderId="0" fillId="26" fontId="26" numFmtId="0" xfId="0" applyFont="1"/>
    <xf borderId="0" fillId="26" fontId="26" numFmtId="0" xfId="0" applyAlignment="1" applyFont="1">
      <alignment horizontal="center" vertical="center"/>
    </xf>
    <xf borderId="0" fillId="26" fontId="27" numFmtId="0" xfId="0" applyFont="1"/>
    <xf borderId="0" fillId="26" fontId="28" numFmtId="0" xfId="0" applyAlignment="1" applyFont="1">
      <alignment horizontal="center"/>
    </xf>
    <xf borderId="0" fillId="26" fontId="29" numFmtId="0" xfId="0" applyAlignment="1" applyFont="1">
      <alignment horizontal="center"/>
    </xf>
    <xf borderId="0" fillId="26" fontId="26" numFmtId="0" xfId="0" applyAlignment="1" applyFont="1">
      <alignment horizontal="center"/>
    </xf>
    <xf borderId="0" fillId="26" fontId="30" numFmtId="0" xfId="0" applyAlignment="1" applyFont="1">
      <alignment horizontal="center"/>
    </xf>
    <xf borderId="0" fillId="26" fontId="31" numFmtId="0" xfId="0" applyAlignment="1" applyFont="1">
      <alignment horizontal="center"/>
    </xf>
    <xf borderId="0" fillId="26" fontId="32" numFmtId="0" xfId="0" applyAlignment="1" applyFont="1">
      <alignment horizontal="center"/>
    </xf>
    <xf borderId="7" fillId="17" fontId="33" numFmtId="0" xfId="0" applyAlignment="1" applyBorder="1" applyFont="1">
      <alignment horizontal="center" vertical="center"/>
    </xf>
    <xf borderId="8" fillId="17" fontId="33" numFmtId="0" xfId="0" applyAlignment="1" applyBorder="1" applyFont="1">
      <alignment horizontal="center" vertical="center"/>
    </xf>
    <xf borderId="9" fillId="15" fontId="34" numFmtId="164" xfId="0" applyBorder="1" applyFont="1" applyNumberFormat="1"/>
    <xf borderId="9" fillId="17" fontId="35" numFmtId="1" xfId="0" applyBorder="1" applyFont="1" applyNumberFormat="1"/>
    <xf borderId="9" fillId="4" fontId="35" numFmtId="1" xfId="0" applyBorder="1" applyFont="1" applyNumberFormat="1"/>
    <xf borderId="10" fillId="4" fontId="35" numFmtId="1" xfId="0" applyBorder="1" applyFont="1" applyNumberFormat="1"/>
    <xf borderId="11" fillId="0" fontId="9" numFmtId="0" xfId="0" applyBorder="1" applyFont="1"/>
    <xf borderId="12" fillId="17" fontId="33" numFmtId="0" xfId="0" applyAlignment="1" applyBorder="1" applyFont="1">
      <alignment horizontal="center" vertical="center"/>
    </xf>
    <xf borderId="1" fillId="29" fontId="36" numFmtId="164" xfId="0" applyBorder="1" applyFill="1" applyFont="1" applyNumberFormat="1"/>
    <xf borderId="1" fillId="17" fontId="35" numFmtId="1" xfId="0" applyBorder="1" applyFont="1" applyNumberFormat="1"/>
    <xf borderId="1" fillId="4" fontId="35" numFmtId="1" xfId="0" applyBorder="1" applyFont="1" applyNumberFormat="1"/>
    <xf borderId="13" fillId="4" fontId="35" numFmtId="1" xfId="0" applyBorder="1" applyFont="1" applyNumberFormat="1"/>
    <xf borderId="1" fillId="27" fontId="36" numFmtId="164" xfId="0" applyBorder="1" applyFont="1" applyNumberFormat="1"/>
    <xf borderId="14" fillId="17" fontId="33" numFmtId="0" xfId="0" applyAlignment="1" applyBorder="1" applyFont="1">
      <alignment horizontal="center" vertical="center"/>
    </xf>
    <xf borderId="15" fillId="6" fontId="36" numFmtId="164" xfId="0" applyBorder="1" applyFont="1" applyNumberFormat="1"/>
    <xf borderId="15" fillId="17" fontId="35" numFmtId="1" xfId="0" applyBorder="1" applyFont="1" applyNumberFormat="1"/>
    <xf borderId="15" fillId="4" fontId="35" numFmtId="1" xfId="0" applyBorder="1" applyFont="1" applyNumberFormat="1"/>
    <xf borderId="16" fillId="4" fontId="35" numFmtId="1" xfId="0" applyBorder="1" applyFont="1" applyNumberFormat="1"/>
    <xf borderId="17" fillId="0" fontId="9" numFmtId="0" xfId="0" applyBorder="1" applyFont="1"/>
    <xf borderId="18" fillId="17" fontId="33" numFmtId="0" xfId="0" applyAlignment="1" applyBorder="1" applyFont="1">
      <alignment horizontal="center" vertical="center"/>
    </xf>
    <xf borderId="19" fillId="17" fontId="33" numFmtId="0" xfId="0" applyAlignment="1" applyBorder="1" applyFont="1">
      <alignment horizontal="center" vertical="center"/>
    </xf>
    <xf borderId="20" fillId="0" fontId="9" numFmtId="0" xfId="0" applyBorder="1" applyFont="1"/>
    <xf borderId="21" fillId="17" fontId="33" numFmtId="0" xfId="0" applyAlignment="1" applyBorder="1" applyFont="1">
      <alignment horizontal="center" vertical="center"/>
    </xf>
    <xf borderId="22" fillId="17" fontId="33" numFmtId="0" xfId="0" applyAlignment="1" applyBorder="1" applyFont="1">
      <alignment horizontal="center" vertical="center"/>
    </xf>
    <xf borderId="23" fillId="0" fontId="9" numFmtId="0" xfId="0" applyBorder="1" applyFont="1"/>
    <xf borderId="18" fillId="17" fontId="33" numFmtId="0" xfId="0" applyAlignment="1" applyBorder="1" applyFont="1">
      <alignment horizontal="center" shrinkToFit="0" vertical="center" wrapText="1"/>
    </xf>
    <xf borderId="0" fillId="18" fontId="19" numFmtId="0" xfId="0" applyFont="1"/>
    <xf borderId="0" fillId="30" fontId="1" numFmtId="0" xfId="0" applyFill="1" applyFont="1"/>
    <xf borderId="0" fillId="15" fontId="19" numFmtId="0" xfId="0" applyFont="1"/>
    <xf borderId="7" fillId="17" fontId="37" numFmtId="0" xfId="0" applyAlignment="1" applyBorder="1" applyFont="1">
      <alignment horizontal="center" shrinkToFit="0" vertical="center" wrapText="1"/>
    </xf>
    <xf borderId="24" fillId="15" fontId="34" numFmtId="164" xfId="0" applyBorder="1" applyFont="1" applyNumberFormat="1"/>
    <xf borderId="25" fillId="4" fontId="35" numFmtId="1" xfId="0" applyBorder="1" applyFont="1" applyNumberFormat="1"/>
    <xf borderId="3" fillId="29" fontId="36" numFmtId="164" xfId="0" applyBorder="1" applyFont="1" applyNumberFormat="1"/>
    <xf borderId="25" fillId="0" fontId="1" numFmtId="0" xfId="0" applyBorder="1" applyFont="1"/>
    <xf borderId="3" fillId="27" fontId="36" numFmtId="164" xfId="0" applyBorder="1" applyFont="1" applyNumberFormat="1"/>
    <xf borderId="26" fillId="6" fontId="36" numFmtId="164" xfId="0" applyBorder="1" applyFont="1" applyNumberFormat="1"/>
    <xf borderId="25" fillId="4" fontId="35" numFmtId="2" xfId="0" applyBorder="1" applyFont="1" applyNumberFormat="1"/>
    <xf borderId="11" fillId="17" fontId="33" numFmtId="0" xfId="0" applyAlignment="1" applyBorder="1" applyFont="1">
      <alignment horizontal="center" vertical="center"/>
    </xf>
    <xf borderId="17" fillId="17" fontId="33" numFmtId="0" xfId="0" applyAlignment="1" applyBorder="1" applyFont="1">
      <alignment horizontal="center" vertical="center"/>
    </xf>
    <xf borderId="0" fillId="5" fontId="18" numFmtId="164" xfId="0" applyFont="1" applyNumberFormat="1"/>
    <xf borderId="1" fillId="7" fontId="1" numFmtId="169" xfId="0" applyBorder="1" applyFont="1" applyNumberFormat="1"/>
    <xf borderId="0" fillId="5" fontId="17" numFmtId="4" xfId="0" applyFont="1" applyNumberFormat="1"/>
    <xf borderId="1" fillId="7" fontId="1" numFmtId="0" xfId="0" applyAlignment="1" applyBorder="1" applyFont="1">
      <alignment horizontal="center" shrinkToFit="0" vertical="center" wrapText="1"/>
    </xf>
    <xf borderId="1" fillId="27" fontId="21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1085850</xdr:colOff>
      <xdr:row>14</xdr:row>
      <xdr:rowOff>95250</xdr:rowOff>
    </xdr:from>
    <xdr:ext cx="619125" cy="6191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552450</xdr:colOff>
      <xdr:row>3</xdr:row>
      <xdr:rowOff>38100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238125</xdr:colOff>
      <xdr:row>1</xdr:row>
      <xdr:rowOff>95250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8</xdr:row>
      <xdr:rowOff>152400</xdr:rowOff>
    </xdr:from>
    <xdr:ext cx="3581400" cy="2247900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14.38"/>
    <col customWidth="1" min="9" max="9" width="14.0"/>
  </cols>
  <sheetData>
    <row r="1" ht="15.75" customHeight="1">
      <c r="C1" s="1" t="s">
        <v>0</v>
      </c>
      <c r="F1" s="1" t="s">
        <v>0</v>
      </c>
    </row>
    <row r="2" ht="15.75" customHeight="1">
      <c r="C2" s="1">
        <v>2.0</v>
      </c>
      <c r="F2" s="1">
        <v>1.6</v>
      </c>
    </row>
    <row r="3" ht="15.75" customHeight="1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"/>
    </row>
    <row r="4" ht="15.75" customHeight="1">
      <c r="B4" s="5">
        <v>1.0</v>
      </c>
      <c r="C4" s="5">
        <v>1250.0</v>
      </c>
      <c r="D4" s="5">
        <v>3000.0</v>
      </c>
      <c r="E4" s="5">
        <v>7000.0</v>
      </c>
      <c r="F4" s="5">
        <v>12000.0</v>
      </c>
      <c r="G4" s="5">
        <v>20000.0</v>
      </c>
      <c r="L4" s="6"/>
    </row>
    <row r="5" ht="15.75" customHeight="1">
      <c r="B5" s="5">
        <v>2.0</v>
      </c>
      <c r="C5" s="5">
        <v>1250.0</v>
      </c>
      <c r="D5" s="5">
        <v>3000.0</v>
      </c>
      <c r="E5" s="5">
        <v>7000.0</v>
      </c>
      <c r="F5" s="5">
        <v>12000.0</v>
      </c>
      <c r="G5" s="5">
        <v>20000.0</v>
      </c>
    </row>
    <row r="6" ht="15.75" customHeight="1">
      <c r="B6" s="5">
        <v>3.0</v>
      </c>
      <c r="C6" s="5">
        <v>1250.0</v>
      </c>
      <c r="D6" s="7">
        <f t="shared" ref="D6:E6" si="1">D5*$C$2</f>
        <v>6000</v>
      </c>
      <c r="E6" s="7">
        <f t="shared" si="1"/>
        <v>14000</v>
      </c>
      <c r="F6" s="7">
        <f t="shared" ref="F6:G6" si="2">F5*$F$2</f>
        <v>19200</v>
      </c>
      <c r="G6" s="7">
        <f t="shared" si="2"/>
        <v>32000</v>
      </c>
      <c r="H6" s="1" t="s">
        <v>7</v>
      </c>
    </row>
    <row r="7" ht="15.75" customHeight="1">
      <c r="B7" s="5">
        <v>4.0</v>
      </c>
      <c r="C7" s="5">
        <v>1250.0</v>
      </c>
      <c r="D7" s="5">
        <v>3000.0</v>
      </c>
      <c r="E7" s="5">
        <v>7000.0</v>
      </c>
      <c r="F7" s="5">
        <v>12000.0</v>
      </c>
      <c r="G7" s="5">
        <v>20000.0</v>
      </c>
      <c r="J7" s="6"/>
    </row>
    <row r="8" ht="15.75" customHeight="1">
      <c r="B8" s="5">
        <v>5.0</v>
      </c>
      <c r="C8" s="5">
        <v>1250.0</v>
      </c>
      <c r="D8" s="5">
        <v>3000.0</v>
      </c>
      <c r="E8" s="5">
        <v>7000.0</v>
      </c>
      <c r="F8" s="5">
        <v>12000.0</v>
      </c>
      <c r="G8" s="5">
        <v>20000.0</v>
      </c>
      <c r="H8" s="8"/>
    </row>
    <row r="9" ht="15.75" customHeight="1">
      <c r="B9" s="5">
        <v>6.0</v>
      </c>
      <c r="C9" s="5">
        <v>1250.0</v>
      </c>
      <c r="D9" s="7">
        <f t="shared" ref="D9:E9" si="3">D8*$C$2</f>
        <v>6000</v>
      </c>
      <c r="E9" s="7">
        <f t="shared" si="3"/>
        <v>14000</v>
      </c>
      <c r="F9" s="7">
        <f t="shared" ref="F9:G9" si="4">F8*$F$2</f>
        <v>19200</v>
      </c>
      <c r="G9" s="7">
        <f t="shared" si="4"/>
        <v>32000</v>
      </c>
      <c r="H9" s="1" t="s">
        <v>7</v>
      </c>
      <c r="K9" s="6"/>
    </row>
    <row r="10" ht="15.75" customHeight="1">
      <c r="B10" s="5">
        <v>7.0</v>
      </c>
      <c r="C10" s="5">
        <v>1250.0</v>
      </c>
      <c r="D10" s="5">
        <v>3000.0</v>
      </c>
      <c r="E10" s="5">
        <v>7000.0</v>
      </c>
      <c r="F10" s="5">
        <v>12000.0</v>
      </c>
      <c r="G10" s="5">
        <v>20000.0</v>
      </c>
      <c r="H10" s="8"/>
    </row>
    <row r="11" ht="15.75" customHeight="1">
      <c r="B11" s="5">
        <v>8.0</v>
      </c>
      <c r="C11" s="5">
        <v>1250.0</v>
      </c>
      <c r="D11" s="5">
        <v>3000.0</v>
      </c>
      <c r="E11" s="5">
        <v>7000.0</v>
      </c>
      <c r="F11" s="5">
        <v>12000.0</v>
      </c>
      <c r="G11" s="5">
        <v>20000.0</v>
      </c>
    </row>
    <row r="12" ht="15.75" customHeight="1">
      <c r="B12" s="5">
        <v>9.0</v>
      </c>
      <c r="C12" s="5">
        <v>1250.0</v>
      </c>
      <c r="D12" s="7">
        <v>3000.0</v>
      </c>
      <c r="E12" s="7">
        <v>7000.0</v>
      </c>
      <c r="F12" s="7">
        <f t="shared" ref="F12:G12" si="5">F11*$F$2</f>
        <v>19200</v>
      </c>
      <c r="G12" s="7">
        <f t="shared" si="5"/>
        <v>32000</v>
      </c>
      <c r="H12" s="1" t="s">
        <v>7</v>
      </c>
      <c r="J12" s="6"/>
    </row>
    <row r="13" ht="15.75" customHeight="1">
      <c r="B13" s="5">
        <v>10.0</v>
      </c>
      <c r="C13" s="5">
        <v>1250.0</v>
      </c>
      <c r="D13" s="5">
        <v>3000.0</v>
      </c>
      <c r="E13" s="5">
        <v>7000.0</v>
      </c>
      <c r="F13" s="5">
        <v>12000.0</v>
      </c>
      <c r="G13" s="5">
        <v>20000.0</v>
      </c>
    </row>
    <row r="14" ht="15.75" customHeight="1">
      <c r="B14" s="5">
        <v>11.0</v>
      </c>
      <c r="C14" s="5">
        <v>1250.0</v>
      </c>
      <c r="D14" s="5">
        <v>3000.0</v>
      </c>
      <c r="E14" s="5">
        <v>7000.0</v>
      </c>
      <c r="F14" s="5">
        <v>12000.0</v>
      </c>
      <c r="G14" s="5">
        <v>20000.0</v>
      </c>
      <c r="O14" s="6"/>
    </row>
    <row r="15" ht="15.75" customHeight="1">
      <c r="B15" s="5">
        <v>12.0</v>
      </c>
      <c r="C15" s="5">
        <v>1250.0</v>
      </c>
      <c r="D15" s="7">
        <v>3000.0</v>
      </c>
      <c r="E15" s="7">
        <v>7000.0</v>
      </c>
      <c r="F15" s="7">
        <f t="shared" ref="F15:G15" si="6">F14*$F$2</f>
        <v>19200</v>
      </c>
      <c r="G15" s="7">
        <f t="shared" si="6"/>
        <v>32000</v>
      </c>
      <c r="H15" s="1" t="s">
        <v>7</v>
      </c>
    </row>
    <row r="16" ht="15.75" customHeight="1">
      <c r="B16" s="9"/>
      <c r="C16" s="10"/>
      <c r="D16" s="10"/>
      <c r="E16" s="10"/>
      <c r="F16" s="5">
        <v>12000.0</v>
      </c>
      <c r="G16" s="5">
        <v>20000.0</v>
      </c>
      <c r="I16" s="6"/>
    </row>
    <row r="17" ht="15.75" customHeight="1">
      <c r="B17" s="9"/>
      <c r="C17" s="10"/>
      <c r="D17" s="10"/>
      <c r="E17" s="10"/>
      <c r="F17" s="5">
        <v>12000.0</v>
      </c>
      <c r="G17" s="5">
        <v>20000.0</v>
      </c>
      <c r="I17" s="6"/>
    </row>
    <row r="18" ht="15.75" customHeight="1">
      <c r="B18" s="9"/>
      <c r="C18" s="10"/>
      <c r="D18" s="10"/>
      <c r="E18" s="10"/>
      <c r="F18" s="7">
        <f t="shared" ref="F18:G18" si="7">F17*$F$2</f>
        <v>19200</v>
      </c>
      <c r="G18" s="7">
        <f t="shared" si="7"/>
        <v>32000</v>
      </c>
      <c r="H18" s="1" t="s">
        <v>7</v>
      </c>
      <c r="I18" s="6"/>
    </row>
    <row r="19" ht="15.75" customHeight="1">
      <c r="B19" s="9" t="s">
        <v>8</v>
      </c>
      <c r="C19" s="10">
        <f>12*44.9</f>
        <v>538.8</v>
      </c>
      <c r="D19" s="10">
        <f>12*123.9</f>
        <v>1486.8</v>
      </c>
      <c r="E19" s="10">
        <f>12*289.9</f>
        <v>3478.8</v>
      </c>
      <c r="F19" s="10">
        <f>15*489.9</f>
        <v>7348.5</v>
      </c>
      <c r="G19" s="10">
        <f>12*799.9</f>
        <v>9598.8</v>
      </c>
      <c r="I19" s="6"/>
    </row>
    <row r="20" ht="15.75" customHeight="1">
      <c r="B20" s="9" t="s">
        <v>9</v>
      </c>
      <c r="C20" s="10">
        <f t="shared" ref="C20:E20" si="8">C19*1000/SUM(C4:C15)</f>
        <v>35.92</v>
      </c>
      <c r="D20" s="10">
        <f t="shared" si="8"/>
        <v>35.4</v>
      </c>
      <c r="E20" s="10">
        <f t="shared" si="8"/>
        <v>35.49795918</v>
      </c>
      <c r="F20" s="10">
        <f>F19*1000/SUM(F4:F18)</f>
        <v>34.02083333</v>
      </c>
      <c r="G20" s="10">
        <f>G19*1000/SUM(G4:G15)</f>
        <v>33.32916667</v>
      </c>
      <c r="O20" s="6"/>
    </row>
    <row r="21" ht="15.75" customHeight="1">
      <c r="B21" s="11" t="s">
        <v>10</v>
      </c>
      <c r="C21" s="12">
        <f t="shared" ref="C21:G21" si="9">C20/2</f>
        <v>17.96</v>
      </c>
      <c r="D21" s="12">
        <f t="shared" si="9"/>
        <v>17.7</v>
      </c>
      <c r="E21" s="12">
        <f t="shared" si="9"/>
        <v>17.74897959</v>
      </c>
      <c r="F21" s="12">
        <f t="shared" si="9"/>
        <v>17.01041667</v>
      </c>
      <c r="G21" s="12">
        <f t="shared" si="9"/>
        <v>16.66458333</v>
      </c>
    </row>
    <row r="22" ht="15.75" customHeight="1"/>
    <row r="23" ht="15.75" customHeight="1"/>
    <row r="24" ht="15.75" customHeight="1">
      <c r="B24" s="13"/>
      <c r="C24" s="13"/>
    </row>
    <row r="25" ht="15.75" customHeight="1">
      <c r="E25" s="6"/>
      <c r="F25" s="6"/>
      <c r="G25" s="6"/>
    </row>
    <row r="26" ht="15.75" customHeight="1"/>
    <row r="27" ht="15.75" customHeight="1"/>
    <row r="28" ht="15.75" customHeight="1">
      <c r="B28" s="6"/>
    </row>
    <row r="29" ht="15.75" customHeight="1"/>
    <row r="30" ht="15.75" customHeight="1"/>
    <row r="31" ht="15.75" customHeight="1">
      <c r="A31" s="14"/>
      <c r="B31" s="14"/>
    </row>
    <row r="32" ht="15.75" customHeight="1">
      <c r="A32" s="15"/>
    </row>
    <row r="33" ht="15.75" customHeight="1">
      <c r="A33" s="1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5.38"/>
    <col customWidth="1" min="3" max="3" width="21.63"/>
    <col customWidth="1" min="4" max="4" width="9.13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/>
    <row r="4" ht="15.75" customHeight="1">
      <c r="B4" s="18" t="s">
        <v>13</v>
      </c>
      <c r="E4" s="19" t="s">
        <v>13</v>
      </c>
      <c r="L4" s="6"/>
    </row>
    <row r="5" ht="15.75" customHeight="1">
      <c r="B5" s="20" t="s">
        <v>14</v>
      </c>
      <c r="C5" s="16">
        <v>20.0</v>
      </c>
      <c r="D5" s="21" t="s">
        <v>15</v>
      </c>
      <c r="G5" s="22"/>
    </row>
    <row r="6" ht="15.75" customHeight="1">
      <c r="G6" s="23" t="s">
        <v>16</v>
      </c>
      <c r="H6" s="24">
        <v>2.5</v>
      </c>
      <c r="I6" s="21" t="s">
        <v>17</v>
      </c>
    </row>
    <row r="7" ht="15.75" customHeight="1">
      <c r="B7" s="25" t="s">
        <v>18</v>
      </c>
      <c r="C7" s="16">
        <v>35.0</v>
      </c>
      <c r="D7" s="21" t="s">
        <v>19</v>
      </c>
      <c r="G7" s="20" t="s">
        <v>20</v>
      </c>
      <c r="H7" s="17">
        <f>IFERROR(__xludf.DUMMYFUNCTION("GOOGLEFINANCE(""USDBRL"")"),5.16)</f>
        <v>5.16</v>
      </c>
    </row>
    <row r="8" ht="15.75" customHeight="1">
      <c r="B8" s="26" t="s">
        <v>21</v>
      </c>
      <c r="C8" s="17">
        <f>C7-C5</f>
        <v>15</v>
      </c>
      <c r="G8" s="20" t="s">
        <v>22</v>
      </c>
      <c r="H8" s="27">
        <f>H6/H7</f>
        <v>0.484496124</v>
      </c>
      <c r="I8" s="6"/>
    </row>
    <row r="9" ht="15.75" customHeight="1">
      <c r="K9" s="6"/>
    </row>
    <row r="10" ht="15.75" customHeight="1">
      <c r="B10" s="28" t="s">
        <v>23</v>
      </c>
      <c r="C10" s="16">
        <v>40.0</v>
      </c>
      <c r="D10" s="21" t="s">
        <v>19</v>
      </c>
    </row>
    <row r="11" ht="15.75" customHeight="1">
      <c r="B11" s="29" t="s">
        <v>24</v>
      </c>
      <c r="C11" s="17">
        <f>C10-C5</f>
        <v>20</v>
      </c>
      <c r="G11" s="20" t="s">
        <v>25</v>
      </c>
      <c r="H11" s="16">
        <v>3000.0</v>
      </c>
    </row>
    <row r="12" ht="15.75" customHeight="1">
      <c r="G12" s="20" t="s">
        <v>26</v>
      </c>
      <c r="H12" s="30">
        <f>H11*H8</f>
        <v>1453.488372</v>
      </c>
      <c r="I12" s="8"/>
      <c r="J12" s="8"/>
    </row>
    <row r="13" ht="15.75" customHeight="1">
      <c r="B13" s="31" t="s">
        <v>27</v>
      </c>
      <c r="C13" s="16">
        <v>40.0</v>
      </c>
      <c r="D13" s="21" t="s">
        <v>28</v>
      </c>
      <c r="H13" s="8"/>
      <c r="I13" s="8"/>
      <c r="J13" s="32"/>
    </row>
    <row r="14" ht="15.75" customHeight="1">
      <c r="E14" s="33" t="s">
        <v>29</v>
      </c>
      <c r="F14" s="34"/>
      <c r="H14" s="8"/>
      <c r="I14" s="35" t="s">
        <v>30</v>
      </c>
      <c r="J14" s="34"/>
      <c r="O14" s="6"/>
    </row>
    <row r="15" ht="15.75" customHeight="1">
      <c r="B15" s="36" t="s">
        <v>31</v>
      </c>
      <c r="C15" s="17">
        <f>C13+C11+C8</f>
        <v>75</v>
      </c>
      <c r="E15" s="20" t="s">
        <v>32</v>
      </c>
      <c r="F15" s="37">
        <v>1.0</v>
      </c>
      <c r="I15" s="20" t="s">
        <v>32</v>
      </c>
      <c r="J15" s="37">
        <v>0.5</v>
      </c>
    </row>
    <row r="16" ht="15.75" customHeight="1"/>
    <row r="17" ht="15.75" customHeight="1">
      <c r="E17" s="20" t="s">
        <v>33</v>
      </c>
      <c r="F17" s="38">
        <f>$H$12*(1+F15)</f>
        <v>2906.976744</v>
      </c>
      <c r="I17" s="20" t="s">
        <v>33</v>
      </c>
      <c r="J17" s="38">
        <f>$H$12*(1+J15)</f>
        <v>2180.232558</v>
      </c>
      <c r="O17" s="6"/>
    </row>
    <row r="18" ht="15.75" customHeight="1"/>
    <row r="19" ht="15.75" customHeight="1"/>
    <row r="20" ht="15.75" customHeight="1">
      <c r="G20" s="20" t="s">
        <v>14</v>
      </c>
      <c r="H20" s="17">
        <f>C5</f>
        <v>20</v>
      </c>
    </row>
    <row r="21" ht="15.75" customHeight="1">
      <c r="B21" s="13"/>
    </row>
    <row r="22" ht="15.75" customHeight="1">
      <c r="E22" s="39" t="s">
        <v>34</v>
      </c>
      <c r="F22" s="40">
        <f>H20*F17/1000</f>
        <v>58.13953488</v>
      </c>
      <c r="I22" s="39" t="s">
        <v>34</v>
      </c>
      <c r="J22" s="40">
        <f>H20*J17/1000</f>
        <v>43.60465116</v>
      </c>
    </row>
    <row r="23" ht="15.75" customHeight="1">
      <c r="I23" s="41" t="s">
        <v>35</v>
      </c>
    </row>
    <row r="24" ht="15.75" customHeight="1">
      <c r="G24" s="42" t="s">
        <v>36</v>
      </c>
      <c r="H24" s="43">
        <f>F22-J22</f>
        <v>14.53488372</v>
      </c>
    </row>
    <row r="25" ht="15.75" customHeight="1">
      <c r="B25" s="6"/>
      <c r="G25" s="41" t="s">
        <v>37</v>
      </c>
    </row>
    <row r="26" ht="15.75" customHeight="1"/>
    <row r="27" ht="15.75" customHeight="1"/>
    <row r="28" ht="15.75" customHeight="1">
      <c r="A28" s="14"/>
      <c r="B28" s="14"/>
    </row>
    <row r="29" ht="15.75" customHeight="1">
      <c r="A29" s="15"/>
    </row>
    <row r="30" ht="15.75" customHeight="1">
      <c r="A30" s="1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C4"/>
    <mergeCell ref="E4:J4"/>
    <mergeCell ref="E14:F14"/>
    <mergeCell ref="I14:J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8.75"/>
    <col customWidth="1" min="3" max="3" width="26.0"/>
    <col customWidth="1" min="4" max="4" width="8.75"/>
    <col customWidth="1" min="5" max="5" width="8.38"/>
    <col customWidth="1" min="6" max="8" width="8.5"/>
    <col customWidth="1" min="9" max="9" width="3.75"/>
    <col customWidth="1" min="10" max="10" width="11.38"/>
    <col customWidth="1" min="11" max="11" width="7.88"/>
    <col customWidth="1" min="12" max="12" width="8.13"/>
    <col customWidth="1" min="13" max="13" width="9.88"/>
    <col customWidth="1" min="15" max="15" width="9.25"/>
    <col customWidth="1" min="16" max="16" width="9.5"/>
    <col customWidth="1" min="17" max="18" width="14.0"/>
    <col customWidth="1" min="20" max="20" width="14.0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>
      <c r="B3" s="45"/>
      <c r="E3" s="45"/>
      <c r="F3" s="45"/>
      <c r="G3" s="45"/>
      <c r="H3" s="45"/>
      <c r="I3" s="45"/>
      <c r="J3" s="45"/>
      <c r="K3" s="45"/>
      <c r="L3" s="45"/>
      <c r="M3" s="46" t="s">
        <v>38</v>
      </c>
      <c r="N3" s="47"/>
    </row>
    <row r="4" ht="15.75" customHeight="1">
      <c r="B4" s="48"/>
      <c r="C4" s="48"/>
      <c r="D4" s="48"/>
      <c r="E4" s="48"/>
      <c r="F4" s="49"/>
      <c r="G4" s="50"/>
      <c r="H4" s="50"/>
      <c r="I4" s="50"/>
      <c r="J4" s="50"/>
      <c r="K4" s="50"/>
      <c r="L4" s="50"/>
      <c r="M4" s="46" t="s">
        <v>39</v>
      </c>
      <c r="N4" s="47"/>
      <c r="O4" s="51"/>
      <c r="P4" s="51"/>
      <c r="Q4" s="51"/>
      <c r="R4" s="51"/>
    </row>
    <row r="5" ht="15.75" customHeight="1">
      <c r="A5" s="20" t="s">
        <v>20</v>
      </c>
      <c r="B5" s="17">
        <f>IFERROR(__xludf.DUMMYFUNCTION("GOOGLEFINANCE(""USDBRL"")"),5.16)</f>
        <v>5.16</v>
      </c>
      <c r="F5" s="8"/>
      <c r="G5" s="8"/>
      <c r="H5" s="8"/>
      <c r="I5" s="8"/>
      <c r="J5" s="8"/>
      <c r="M5" s="46" t="s">
        <v>40</v>
      </c>
      <c r="N5" s="47"/>
      <c r="O5" s="8"/>
      <c r="P5" s="8"/>
      <c r="Q5" s="8"/>
      <c r="R5" s="8"/>
    </row>
    <row r="6" ht="15.75" customHeight="1">
      <c r="A6" s="20" t="s">
        <v>14</v>
      </c>
      <c r="B6" s="16">
        <v>18.0</v>
      </c>
      <c r="H6" s="8"/>
      <c r="I6" s="8"/>
      <c r="J6" s="32"/>
      <c r="M6" s="46" t="s">
        <v>41</v>
      </c>
      <c r="O6" s="8"/>
      <c r="P6" s="8"/>
      <c r="Q6" s="8"/>
      <c r="R6" s="8"/>
    </row>
    <row r="7" ht="15.75" customHeight="1">
      <c r="H7" s="8"/>
      <c r="I7" s="8"/>
      <c r="J7" s="8"/>
      <c r="M7" s="46"/>
      <c r="O7" s="49"/>
      <c r="P7" s="8"/>
      <c r="Q7" s="8"/>
      <c r="R7" s="8"/>
    </row>
    <row r="8" ht="15.75" customHeight="1">
      <c r="C8" s="52" t="s">
        <v>42</v>
      </c>
      <c r="D8" s="8" t="s">
        <v>43</v>
      </c>
      <c r="E8" s="53" t="s">
        <v>44</v>
      </c>
      <c r="F8" s="8" t="s">
        <v>45</v>
      </c>
      <c r="G8" s="8" t="s">
        <v>46</v>
      </c>
      <c r="H8" s="47"/>
      <c r="M8" s="46" t="s">
        <v>47</v>
      </c>
      <c r="N8" s="47"/>
      <c r="O8" s="49"/>
      <c r="P8" s="32"/>
      <c r="Q8" s="8"/>
      <c r="R8" s="8"/>
      <c r="S8" s="8"/>
      <c r="T8" s="8"/>
      <c r="U8" s="8"/>
      <c r="V8" s="8"/>
      <c r="W8" s="8"/>
      <c r="X8" s="8"/>
    </row>
    <row r="9" ht="15.75" customHeight="1">
      <c r="C9" s="54" t="s">
        <v>48</v>
      </c>
      <c r="D9" s="55">
        <v>1.0</v>
      </c>
      <c r="E9" s="55">
        <f>0.28*B5</f>
        <v>1.4448</v>
      </c>
      <c r="F9" s="55">
        <v>2.5</v>
      </c>
      <c r="G9" s="56">
        <v>5.0</v>
      </c>
      <c r="H9" s="47"/>
      <c r="M9" s="46" t="s">
        <v>49</v>
      </c>
      <c r="N9" s="47"/>
      <c r="O9" s="8"/>
      <c r="P9" s="8"/>
      <c r="Q9" s="8"/>
      <c r="R9" s="8"/>
      <c r="S9" s="8"/>
      <c r="T9" s="8"/>
      <c r="U9" s="8"/>
      <c r="V9" s="32"/>
      <c r="W9" s="8"/>
      <c r="X9" s="8"/>
    </row>
    <row r="10" ht="15.75" customHeight="1">
      <c r="C10" s="54" t="s">
        <v>50</v>
      </c>
      <c r="D10" s="57">
        <f t="shared" ref="D10:G10" si="1">D9/$B$5</f>
        <v>0.1937984496</v>
      </c>
      <c r="E10" s="57">
        <f t="shared" si="1"/>
        <v>0.28</v>
      </c>
      <c r="F10" s="57">
        <f t="shared" si="1"/>
        <v>0.484496124</v>
      </c>
      <c r="G10" s="57">
        <f t="shared" si="1"/>
        <v>0.9689922481</v>
      </c>
      <c r="H10" s="47"/>
      <c r="N10" s="51"/>
      <c r="O10" s="58"/>
      <c r="P10" s="51"/>
      <c r="Q10" s="58"/>
      <c r="R10" s="51"/>
      <c r="S10" s="8"/>
      <c r="T10" s="8"/>
      <c r="U10" s="8"/>
      <c r="V10" s="32"/>
      <c r="W10" s="8"/>
      <c r="X10" s="8"/>
    </row>
    <row r="11" ht="15.75" customHeight="1">
      <c r="C11" s="59" t="s">
        <v>51</v>
      </c>
      <c r="D11" s="60">
        <v>1.0</v>
      </c>
      <c r="E11" s="61"/>
      <c r="F11" s="61"/>
      <c r="G11" s="34"/>
      <c r="H11" s="47"/>
      <c r="N11" s="51"/>
      <c r="O11" s="32"/>
      <c r="P11" s="51"/>
      <c r="Q11" s="58"/>
      <c r="R11" s="8"/>
      <c r="S11" s="8"/>
      <c r="T11" s="8"/>
      <c r="U11" s="8"/>
      <c r="V11" s="8"/>
      <c r="W11" s="8"/>
      <c r="X11" s="8"/>
    </row>
    <row r="12" ht="15.75" customHeight="1">
      <c r="C12" s="62" t="s">
        <v>52</v>
      </c>
      <c r="D12" s="63">
        <f t="shared" ref="D12:G12" si="2">D10*(1+$D$11)</f>
        <v>0.3875968992</v>
      </c>
      <c r="E12" s="63">
        <f t="shared" si="2"/>
        <v>0.56</v>
      </c>
      <c r="F12" s="63">
        <f t="shared" si="2"/>
        <v>0.9689922481</v>
      </c>
      <c r="G12" s="63">
        <f t="shared" si="2"/>
        <v>1.937984496</v>
      </c>
      <c r="H12" s="47"/>
      <c r="L12" s="47"/>
      <c r="N12" s="51"/>
      <c r="O12" s="32"/>
      <c r="P12" s="51"/>
      <c r="Q12" s="58"/>
      <c r="R12" s="8"/>
      <c r="S12" s="8"/>
      <c r="T12" s="8"/>
      <c r="U12" s="8"/>
      <c r="V12" s="8"/>
      <c r="W12" s="8"/>
      <c r="X12" s="8"/>
    </row>
    <row r="13" ht="15.75" customHeight="1">
      <c r="C13" s="59" t="s">
        <v>53</v>
      </c>
      <c r="D13" s="64">
        <v>1000.0</v>
      </c>
      <c r="E13" s="61"/>
      <c r="F13" s="61"/>
      <c r="G13" s="34"/>
      <c r="H13" s="47"/>
      <c r="K13" s="47"/>
      <c r="L13" s="65"/>
      <c r="N13" s="66"/>
      <c r="O13" s="32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B14" s="67"/>
      <c r="C14" s="59" t="s">
        <v>54</v>
      </c>
      <c r="D14" s="68">
        <f t="shared" ref="D14:G14" si="3">$D$13*D12/1000</f>
        <v>0.3875968992</v>
      </c>
      <c r="E14" s="68">
        <f t="shared" si="3"/>
        <v>0.56</v>
      </c>
      <c r="F14" s="68">
        <f t="shared" si="3"/>
        <v>0.9689922481</v>
      </c>
      <c r="G14" s="68">
        <f t="shared" si="3"/>
        <v>1.937984496</v>
      </c>
      <c r="H14" s="47"/>
      <c r="K14" s="47"/>
      <c r="L14" s="47"/>
      <c r="N14" s="66"/>
      <c r="O14" s="8"/>
      <c r="P14" s="8"/>
      <c r="Q14" s="32"/>
      <c r="R14" s="8"/>
      <c r="S14" s="8"/>
      <c r="T14" s="8"/>
      <c r="U14" s="8"/>
      <c r="V14" s="8"/>
      <c r="W14" s="8"/>
      <c r="X14" s="8"/>
    </row>
    <row r="15" ht="15.75" customHeight="1">
      <c r="B15" s="67"/>
      <c r="C15" s="69" t="s">
        <v>55</v>
      </c>
      <c r="D15" s="70">
        <f t="shared" ref="D15:G15" si="4">D14*$B$6</f>
        <v>6.976744186</v>
      </c>
      <c r="E15" s="70">
        <f t="shared" si="4"/>
        <v>10.08</v>
      </c>
      <c r="F15" s="70">
        <f t="shared" si="4"/>
        <v>17.44186047</v>
      </c>
      <c r="G15" s="70">
        <f t="shared" si="4"/>
        <v>34.88372093</v>
      </c>
      <c r="H15" s="47"/>
      <c r="K15" s="47"/>
      <c r="L15" s="47"/>
      <c r="N15" s="66"/>
      <c r="O15" s="8"/>
      <c r="P15" s="8"/>
      <c r="Q15" s="32"/>
      <c r="R15" s="8"/>
      <c r="S15" s="8"/>
      <c r="T15" s="8"/>
      <c r="U15" s="8"/>
      <c r="V15" s="8"/>
      <c r="W15" s="8"/>
      <c r="X15" s="8"/>
    </row>
    <row r="16" ht="15.75" customHeight="1">
      <c r="B16" s="67"/>
      <c r="C16" s="59" t="s">
        <v>56</v>
      </c>
      <c r="D16" s="71">
        <f t="shared" ref="D16:G16" si="5">D15/$D$13</f>
        <v>0.006976744186</v>
      </c>
      <c r="E16" s="71">
        <f t="shared" si="5"/>
        <v>0.01008</v>
      </c>
      <c r="F16" s="71">
        <f t="shared" si="5"/>
        <v>0.01744186047</v>
      </c>
      <c r="G16" s="71">
        <f t="shared" si="5"/>
        <v>0.03488372093</v>
      </c>
      <c r="H16" s="47"/>
      <c r="I16" s="47"/>
      <c r="J16" s="47"/>
      <c r="K16" s="47"/>
      <c r="L16" s="47"/>
      <c r="Q16" s="1"/>
      <c r="S16" s="32"/>
      <c r="T16" s="32"/>
      <c r="U16" s="8"/>
      <c r="V16" s="8"/>
      <c r="W16" s="8"/>
      <c r="X16" s="8"/>
    </row>
    <row r="17" ht="15.75" customHeight="1">
      <c r="B17" s="67"/>
      <c r="C17" s="72"/>
      <c r="D17" s="47"/>
      <c r="E17" s="53"/>
      <c r="F17" s="47"/>
      <c r="G17" s="47"/>
      <c r="H17" s="47"/>
      <c r="I17" s="47"/>
      <c r="J17" s="47"/>
      <c r="K17" s="47"/>
      <c r="L17" s="47"/>
      <c r="S17" s="8"/>
      <c r="T17" s="8"/>
      <c r="U17" s="8"/>
      <c r="V17" s="8"/>
      <c r="W17" s="8"/>
      <c r="X17" s="8"/>
    </row>
    <row r="18" ht="15.75" customHeight="1">
      <c r="B18" s="67"/>
      <c r="C18" s="73" t="s">
        <v>57</v>
      </c>
      <c r="D18" s="47"/>
      <c r="E18" s="53"/>
      <c r="F18" s="47"/>
      <c r="G18" s="47"/>
      <c r="H18" s="47"/>
      <c r="I18" s="47"/>
      <c r="J18" s="47"/>
      <c r="K18" s="47"/>
      <c r="L18" s="47"/>
      <c r="M18" s="74"/>
    </row>
    <row r="19" ht="15.75" customHeight="1">
      <c r="B19" s="67"/>
      <c r="C19" s="42" t="s">
        <v>58</v>
      </c>
      <c r="D19" s="75">
        <v>0.01</v>
      </c>
      <c r="E19" s="76" t="s">
        <v>59</v>
      </c>
      <c r="F19" s="47"/>
      <c r="G19" s="47"/>
      <c r="H19" s="47"/>
      <c r="I19" s="47"/>
      <c r="J19" s="65"/>
      <c r="K19" s="47"/>
      <c r="L19" s="47"/>
      <c r="M19" s="47"/>
    </row>
    <row r="20" ht="15.75" customHeight="1">
      <c r="B20" s="67"/>
      <c r="C20" s="42" t="s">
        <v>60</v>
      </c>
      <c r="D20" s="75">
        <f>D16</f>
        <v>0.006976744186</v>
      </c>
      <c r="E20" s="76" t="s">
        <v>61</v>
      </c>
      <c r="F20" s="47"/>
      <c r="G20" s="47"/>
      <c r="H20" s="47"/>
      <c r="I20" s="47"/>
      <c r="J20" s="47"/>
      <c r="K20" s="47"/>
      <c r="L20" s="47"/>
      <c r="M20" s="47"/>
    </row>
    <row r="21" ht="15.75" customHeight="1">
      <c r="B21" s="67"/>
      <c r="C21" s="77"/>
      <c r="D21" s="78"/>
      <c r="E21" s="79"/>
      <c r="F21" s="78"/>
      <c r="G21" s="78"/>
      <c r="H21" s="78"/>
      <c r="I21" s="78"/>
      <c r="J21" s="78"/>
      <c r="K21" s="78"/>
      <c r="L21" s="65"/>
      <c r="M21" s="47"/>
    </row>
    <row r="22" ht="15.75" customHeight="1">
      <c r="B22" s="67"/>
      <c r="C22" s="80" t="s">
        <v>62</v>
      </c>
      <c r="D22" s="81"/>
      <c r="E22" s="82"/>
      <c r="F22" s="83"/>
      <c r="G22" s="84"/>
      <c r="H22" s="85"/>
      <c r="I22" s="78"/>
      <c r="J22" s="86"/>
      <c r="K22" s="87"/>
      <c r="L22" s="47"/>
      <c r="M22" s="47"/>
    </row>
    <row r="23" ht="15.75" customHeight="1">
      <c r="B23" s="67"/>
      <c r="C23" s="42" t="s">
        <v>63</v>
      </c>
      <c r="D23" s="88">
        <v>1000.0</v>
      </c>
      <c r="E23" s="76" t="s">
        <v>64</v>
      </c>
      <c r="F23" s="83"/>
      <c r="G23" s="84"/>
      <c r="H23" s="85"/>
      <c r="I23" s="89"/>
      <c r="J23" s="90"/>
      <c r="K23" s="87"/>
    </row>
    <row r="24" ht="15.75" customHeight="1">
      <c r="B24" s="67"/>
      <c r="C24" s="42" t="s">
        <v>65</v>
      </c>
      <c r="D24" s="91">
        <v>12.0</v>
      </c>
      <c r="E24" s="76" t="s">
        <v>66</v>
      </c>
      <c r="F24" s="83"/>
      <c r="G24" s="84"/>
      <c r="H24" s="85"/>
      <c r="I24" s="78"/>
      <c r="J24" s="86"/>
      <c r="K24" s="87"/>
      <c r="L24" s="47"/>
      <c r="M24" s="47"/>
    </row>
    <row r="25" ht="15.75" customHeight="1">
      <c r="B25" s="67"/>
      <c r="C25" s="42" t="s">
        <v>67</v>
      </c>
      <c r="D25" s="92">
        <f>D24*D23</f>
        <v>12000</v>
      </c>
      <c r="E25" s="76"/>
      <c r="F25" s="83"/>
      <c r="G25" s="84"/>
      <c r="H25" s="85"/>
      <c r="I25" s="78"/>
      <c r="J25" s="86"/>
      <c r="K25" s="87"/>
      <c r="L25" s="47"/>
      <c r="M25" s="47"/>
    </row>
    <row r="26" ht="15.75" customHeight="1">
      <c r="B26" s="67"/>
      <c r="C26" s="42" t="s">
        <v>58</v>
      </c>
      <c r="D26" s="37">
        <v>0.14</v>
      </c>
      <c r="E26" s="76" t="s">
        <v>68</v>
      </c>
      <c r="F26" s="83"/>
      <c r="G26" s="84"/>
      <c r="H26" s="85"/>
      <c r="I26" s="89"/>
      <c r="J26" s="90"/>
      <c r="K26" s="87"/>
    </row>
    <row r="27" ht="15.75" customHeight="1">
      <c r="B27" s="67"/>
      <c r="C27" s="42" t="s">
        <v>69</v>
      </c>
      <c r="D27" s="93">
        <f>(D25*B6/1000)/D23</f>
        <v>0.216</v>
      </c>
      <c r="E27" s="76"/>
    </row>
    <row r="28" ht="15.75" customHeight="1">
      <c r="B28" s="67"/>
      <c r="C28" s="94"/>
      <c r="D28" s="1"/>
      <c r="E28" s="53"/>
    </row>
    <row r="29" ht="15.75" customHeight="1">
      <c r="B29" s="67"/>
      <c r="C29" s="94"/>
      <c r="D29" s="1"/>
      <c r="E29" s="53"/>
    </row>
    <row r="30" ht="15.75" customHeight="1">
      <c r="B30" s="67"/>
      <c r="C30" s="94"/>
      <c r="D30" s="1"/>
      <c r="E30" s="53"/>
    </row>
    <row r="31" ht="15.75" customHeight="1">
      <c r="A31" s="89"/>
      <c r="B31" s="95"/>
      <c r="C31" s="96"/>
      <c r="D31" s="89"/>
      <c r="E31" s="7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ht="15.75" customHeight="1">
      <c r="A32" s="89"/>
      <c r="B32" s="95"/>
      <c r="C32" s="96"/>
      <c r="D32" s="89"/>
      <c r="E32" s="7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ht="15.75" customHeight="1">
      <c r="A33" s="89"/>
      <c r="B33" s="95"/>
      <c r="C33" s="96"/>
      <c r="D33" s="89"/>
      <c r="E33" s="79"/>
      <c r="F33" s="90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ht="15.75" customHeight="1">
      <c r="A34" s="89"/>
      <c r="B34" s="97"/>
      <c r="C34" s="96"/>
      <c r="D34" s="89"/>
      <c r="E34" s="79"/>
      <c r="F34" s="90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89"/>
      <c r="S34" s="89"/>
      <c r="T34" s="89"/>
      <c r="U34" s="89"/>
      <c r="V34" s="89"/>
      <c r="W34" s="89"/>
    </row>
    <row r="35" ht="15.75" customHeight="1">
      <c r="A35" s="89"/>
      <c r="B35" s="95"/>
      <c r="C35" s="96"/>
      <c r="D35" s="89"/>
      <c r="E35" s="7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89"/>
      <c r="S35" s="89"/>
      <c r="T35" s="89"/>
      <c r="U35" s="89"/>
      <c r="V35" s="89"/>
      <c r="W35" s="89"/>
    </row>
    <row r="36" ht="15.75" customHeight="1">
      <c r="A36" s="89"/>
      <c r="B36" s="95"/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ht="15.75" customHeight="1">
      <c r="A37" s="89"/>
      <c r="B37" s="95"/>
      <c r="C37" s="96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ht="15.75" customHeight="1">
      <c r="A38" s="89"/>
      <c r="B38" s="89"/>
      <c r="C38" s="9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ht="15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ht="15.75" customHeight="1">
      <c r="A40" s="89"/>
      <c r="B40" s="89"/>
      <c r="C40" s="89"/>
      <c r="D40" s="90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90"/>
      <c r="S40" s="89"/>
      <c r="T40" s="89"/>
      <c r="U40" s="89"/>
      <c r="V40" s="89"/>
      <c r="W40" s="89"/>
    </row>
    <row r="41" ht="15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ht="15.75" customHeight="1">
      <c r="A42" s="89"/>
      <c r="B42" s="89"/>
      <c r="C42" s="89"/>
      <c r="D42" s="90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D3"/>
    <mergeCell ref="D11:G11"/>
    <mergeCell ref="D13:G13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23.0"/>
    <col customWidth="1" min="2" max="4" width="10.13"/>
    <col customWidth="1" min="5" max="5" width="11.0"/>
    <col customWidth="1" min="6" max="6" width="18.13"/>
    <col customWidth="1" min="7" max="7" width="24.75"/>
    <col customWidth="1" min="8" max="8" width="20.38"/>
    <col customWidth="1" min="9" max="9" width="12.38"/>
    <col customWidth="1" min="10" max="10" width="13.0"/>
    <col customWidth="1" min="11" max="11" width="7.75"/>
    <col customWidth="1" min="12" max="12" width="10.25"/>
  </cols>
  <sheetData>
    <row r="1" ht="15.75" customHeight="1">
      <c r="A1" s="90"/>
      <c r="B1" s="89"/>
      <c r="C1" s="89"/>
      <c r="D1" s="89"/>
    </row>
    <row r="2" ht="15.75" customHeight="1">
      <c r="A2" s="98" t="s">
        <v>70</v>
      </c>
      <c r="B2" s="99" t="s">
        <v>71</v>
      </c>
      <c r="C2" s="100" t="s">
        <v>71</v>
      </c>
      <c r="D2" s="99" t="s">
        <v>72</v>
      </c>
      <c r="E2" s="99" t="s">
        <v>72</v>
      </c>
      <c r="F2" s="42" t="s">
        <v>73</v>
      </c>
      <c r="G2" s="42" t="s">
        <v>74</v>
      </c>
      <c r="H2" s="42" t="s">
        <v>75</v>
      </c>
    </row>
    <row r="3" ht="15.75" customHeight="1">
      <c r="A3" s="101" t="s">
        <v>32</v>
      </c>
      <c r="B3" s="102">
        <v>15.0</v>
      </c>
      <c r="C3" s="102">
        <f>20 + 80</f>
        <v>100</v>
      </c>
      <c r="D3" s="102">
        <v>100.0</v>
      </c>
      <c r="E3" s="103">
        <v>300.0</v>
      </c>
      <c r="F3" s="104">
        <v>100.0</v>
      </c>
      <c r="G3" s="104">
        <v>20.0</v>
      </c>
      <c r="H3" s="104">
        <v>53.0</v>
      </c>
    </row>
    <row r="4" ht="15.75" customHeight="1">
      <c r="A4" s="99" t="s">
        <v>76</v>
      </c>
      <c r="B4" s="105">
        <f t="shared" ref="B4:E4" si="1">B3*0.3</f>
        <v>4.5</v>
      </c>
      <c r="C4" s="105">
        <f t="shared" si="1"/>
        <v>30</v>
      </c>
      <c r="D4" s="105">
        <f t="shared" si="1"/>
        <v>30</v>
      </c>
      <c r="E4" s="105">
        <f t="shared" si="1"/>
        <v>90</v>
      </c>
      <c r="F4" s="106">
        <v>30.0</v>
      </c>
      <c r="G4" s="105">
        <f>G3*0.3</f>
        <v>6</v>
      </c>
      <c r="H4" s="105">
        <f>0.3*H3</f>
        <v>15.9</v>
      </c>
      <c r="J4" s="107" t="s">
        <v>77</v>
      </c>
      <c r="K4" s="108">
        <v>35.0</v>
      </c>
      <c r="L4" s="109"/>
      <c r="N4" s="6"/>
    </row>
    <row r="5" ht="15.75" customHeight="1">
      <c r="A5" s="99" t="s">
        <v>78</v>
      </c>
      <c r="B5" s="104">
        <f>B3</f>
        <v>15</v>
      </c>
      <c r="C5" s="102">
        <v>20.0</v>
      </c>
      <c r="D5" s="102">
        <v>20.0</v>
      </c>
      <c r="E5" s="102">
        <v>100.0</v>
      </c>
      <c r="F5" s="104">
        <v>100.0</v>
      </c>
      <c r="G5" s="104">
        <f t="shared" ref="G5:H5" si="2">G3</f>
        <v>20</v>
      </c>
      <c r="H5" s="104">
        <f t="shared" si="2"/>
        <v>53</v>
      </c>
      <c r="J5" s="110" t="s">
        <v>79</v>
      </c>
      <c r="K5" s="108">
        <v>33.9</v>
      </c>
      <c r="L5" s="109"/>
      <c r="N5" s="6"/>
    </row>
    <row r="6" ht="15.75" customHeight="1">
      <c r="A6" s="99" t="s">
        <v>80</v>
      </c>
      <c r="B6" s="102">
        <v>5.0</v>
      </c>
      <c r="C6" s="102">
        <v>5.0</v>
      </c>
      <c r="D6" s="102">
        <v>5.0</v>
      </c>
      <c r="E6" s="102">
        <v>1.0</v>
      </c>
      <c r="F6" s="104">
        <v>2.0</v>
      </c>
      <c r="G6" s="104">
        <v>4.0</v>
      </c>
      <c r="H6" s="104">
        <v>1.0</v>
      </c>
      <c r="I6" s="109"/>
      <c r="J6" s="109"/>
      <c r="K6" s="109"/>
      <c r="L6" s="109"/>
    </row>
    <row r="7" ht="15.75" customHeight="1">
      <c r="A7" s="99" t="s">
        <v>81</v>
      </c>
      <c r="B7" s="102">
        <v>0.3</v>
      </c>
      <c r="C7" s="102">
        <v>0.3</v>
      </c>
      <c r="D7" s="102">
        <v>0.3</v>
      </c>
      <c r="E7" s="102">
        <v>0.3</v>
      </c>
      <c r="F7" s="105">
        <v>0.3</v>
      </c>
      <c r="G7" s="105">
        <v>0.3</v>
      </c>
      <c r="H7" s="105">
        <v>0.3</v>
      </c>
      <c r="I7" s="109"/>
      <c r="J7" s="109"/>
      <c r="K7" s="109"/>
      <c r="L7" s="109"/>
    </row>
    <row r="8" ht="15.75" customHeight="1">
      <c r="A8" s="99" t="s">
        <v>81</v>
      </c>
      <c r="B8" s="102">
        <f t="shared" ref="B8:H8" si="3">B7*B6*B5</f>
        <v>22.5</v>
      </c>
      <c r="C8" s="102">
        <f t="shared" si="3"/>
        <v>30</v>
      </c>
      <c r="D8" s="102">
        <f t="shared" si="3"/>
        <v>30</v>
      </c>
      <c r="E8" s="102">
        <f t="shared" si="3"/>
        <v>30</v>
      </c>
      <c r="F8" s="106">
        <f t="shared" si="3"/>
        <v>60</v>
      </c>
      <c r="G8" s="105">
        <f t="shared" si="3"/>
        <v>24</v>
      </c>
      <c r="H8" s="105">
        <f t="shared" si="3"/>
        <v>15.9</v>
      </c>
      <c r="I8" s="109"/>
      <c r="J8" s="109"/>
      <c r="K8" s="109"/>
      <c r="L8" s="109"/>
    </row>
    <row r="9" ht="15.75" customHeight="1">
      <c r="A9" s="99"/>
      <c r="B9" s="102"/>
      <c r="C9" s="102"/>
      <c r="D9" s="102"/>
      <c r="E9" s="102"/>
      <c r="F9" s="102"/>
      <c r="G9" s="102"/>
      <c r="H9" s="102"/>
      <c r="I9" s="109"/>
      <c r="J9" s="109"/>
      <c r="K9" s="109"/>
      <c r="L9" s="109"/>
    </row>
    <row r="10" ht="15.75" customHeight="1">
      <c r="A10" s="99" t="s">
        <v>82</v>
      </c>
      <c r="B10" s="105">
        <f t="shared" ref="B10:H10" si="4">B3+B4+B5*B6+B8</f>
        <v>117</v>
      </c>
      <c r="C10" s="102">
        <f t="shared" si="4"/>
        <v>260</v>
      </c>
      <c r="D10" s="102">
        <f t="shared" si="4"/>
        <v>260</v>
      </c>
      <c r="E10" s="102">
        <f t="shared" si="4"/>
        <v>520</v>
      </c>
      <c r="F10" s="105">
        <f t="shared" si="4"/>
        <v>390</v>
      </c>
      <c r="G10" s="105">
        <f t="shared" si="4"/>
        <v>130</v>
      </c>
      <c r="H10" s="105">
        <f t="shared" si="4"/>
        <v>137.8</v>
      </c>
      <c r="I10" s="109"/>
      <c r="J10" s="109"/>
      <c r="K10" s="109"/>
      <c r="L10" s="109"/>
      <c r="M10" s="6"/>
    </row>
    <row r="11" ht="15.75" customHeight="1">
      <c r="A11" s="99" t="s">
        <v>70</v>
      </c>
      <c r="B11" s="102">
        <v>0.0</v>
      </c>
      <c r="C11" s="102">
        <v>10.0</v>
      </c>
      <c r="D11" s="102">
        <v>1.0</v>
      </c>
      <c r="E11" s="102">
        <v>1.0</v>
      </c>
      <c r="F11" s="104">
        <v>1.0</v>
      </c>
      <c r="G11" s="104">
        <v>1.0</v>
      </c>
      <c r="H11" s="104">
        <v>10.0</v>
      </c>
      <c r="I11" s="109"/>
      <c r="J11" s="109"/>
      <c r="K11" s="109"/>
      <c r="L11" s="109"/>
    </row>
    <row r="12" ht="15.75" customHeight="1">
      <c r="A12" s="99" t="s">
        <v>83</v>
      </c>
      <c r="B12" s="102">
        <f t="shared" ref="B12:H12" si="5">SUM(B10:B11)</f>
        <v>117</v>
      </c>
      <c r="C12" s="102">
        <f t="shared" si="5"/>
        <v>270</v>
      </c>
      <c r="D12" s="102">
        <f t="shared" si="5"/>
        <v>261</v>
      </c>
      <c r="E12" s="102">
        <f t="shared" si="5"/>
        <v>521</v>
      </c>
      <c r="F12" s="105">
        <f t="shared" si="5"/>
        <v>391</v>
      </c>
      <c r="G12" s="105">
        <f t="shared" si="5"/>
        <v>131</v>
      </c>
      <c r="H12" s="105">
        <f t="shared" si="5"/>
        <v>147.8</v>
      </c>
      <c r="I12" s="109"/>
      <c r="J12" s="109"/>
      <c r="K12" s="109"/>
      <c r="L12" s="109"/>
    </row>
    <row r="13" ht="15.75" customHeight="1">
      <c r="A13" s="99" t="s">
        <v>84</v>
      </c>
      <c r="B13" s="111">
        <f t="shared" ref="B13:E13" si="6">B3*$K$4</f>
        <v>525</v>
      </c>
      <c r="C13" s="111">
        <f t="shared" si="6"/>
        <v>3500</v>
      </c>
      <c r="D13" s="111">
        <f t="shared" si="6"/>
        <v>3500</v>
      </c>
      <c r="E13" s="111">
        <f t="shared" si="6"/>
        <v>10500</v>
      </c>
      <c r="F13" s="112">
        <f t="shared" ref="F13:G13" si="7">F3*$K$5</f>
        <v>3390</v>
      </c>
      <c r="G13" s="112">
        <f t="shared" si="7"/>
        <v>678</v>
      </c>
      <c r="H13" s="112">
        <f>H3*$K$4</f>
        <v>1855</v>
      </c>
      <c r="I13" s="109"/>
      <c r="J13" s="109"/>
      <c r="K13" s="109"/>
      <c r="L13" s="109"/>
    </row>
    <row r="14" ht="15.75" customHeight="1">
      <c r="A14" s="99" t="s">
        <v>85</v>
      </c>
      <c r="B14" s="111">
        <f t="shared" ref="B14:C14" si="8">356.8</f>
        <v>356.8</v>
      </c>
      <c r="C14" s="111">
        <f t="shared" si="8"/>
        <v>356.8</v>
      </c>
      <c r="D14" s="111">
        <v>40.9</v>
      </c>
      <c r="E14" s="111">
        <v>40.9</v>
      </c>
      <c r="F14" s="112">
        <v>40.9</v>
      </c>
      <c r="G14" s="112">
        <v>40.9</v>
      </c>
      <c r="H14" s="112">
        <f>356.8</f>
        <v>356.8</v>
      </c>
      <c r="I14" s="109"/>
      <c r="J14" s="109"/>
      <c r="K14" s="109"/>
      <c r="L14" s="109"/>
    </row>
    <row r="15" ht="15.75" customHeight="1">
      <c r="A15" s="99" t="s">
        <v>86</v>
      </c>
      <c r="B15" s="111">
        <f t="shared" ref="B15:H15" si="9">B5*B6*35</f>
        <v>2625</v>
      </c>
      <c r="C15" s="111">
        <f t="shared" si="9"/>
        <v>3500</v>
      </c>
      <c r="D15" s="111">
        <f t="shared" si="9"/>
        <v>3500</v>
      </c>
      <c r="E15" s="111">
        <f t="shared" si="9"/>
        <v>3500</v>
      </c>
      <c r="F15" s="112">
        <f t="shared" si="9"/>
        <v>7000</v>
      </c>
      <c r="G15" s="112">
        <f t="shared" si="9"/>
        <v>2800</v>
      </c>
      <c r="H15" s="112">
        <f t="shared" si="9"/>
        <v>1855</v>
      </c>
      <c r="I15" s="109"/>
      <c r="J15" s="109"/>
      <c r="K15" s="109"/>
      <c r="L15" s="109"/>
    </row>
    <row r="16" ht="15.75" customHeight="1">
      <c r="A16" s="99" t="s">
        <v>87</v>
      </c>
      <c r="B16" s="111">
        <f t="shared" ref="B16:H16" si="10">(B13+B14+B15)/B12</f>
        <v>29.97264957</v>
      </c>
      <c r="C16" s="111">
        <f t="shared" si="10"/>
        <v>27.24740741</v>
      </c>
      <c r="D16" s="111">
        <f t="shared" si="10"/>
        <v>26.97662835</v>
      </c>
      <c r="E16" s="111">
        <f t="shared" si="10"/>
        <v>26.94990403</v>
      </c>
      <c r="F16" s="112">
        <f t="shared" si="10"/>
        <v>26.67749361</v>
      </c>
      <c r="G16" s="112">
        <f t="shared" si="10"/>
        <v>26.86183206</v>
      </c>
      <c r="H16" s="112">
        <f t="shared" si="10"/>
        <v>27.51556157</v>
      </c>
      <c r="I16" s="109"/>
      <c r="J16" s="109"/>
      <c r="K16" s="109"/>
      <c r="L16" s="109"/>
    </row>
    <row r="17" ht="15.75" customHeight="1">
      <c r="A17" s="113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Q17" s="6"/>
    </row>
    <row r="18" ht="15.75" customHeight="1">
      <c r="A18" s="113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ht="15.75" customHeight="1">
      <c r="A19" s="113" t="s">
        <v>88</v>
      </c>
      <c r="B19" s="109"/>
      <c r="C19" s="109"/>
      <c r="D19" s="109"/>
      <c r="E19" s="109"/>
      <c r="F19" s="114">
        <f t="shared" ref="F19:H19" si="11">SUM(F13:F15)</f>
        <v>10430.9</v>
      </c>
      <c r="G19" s="114">
        <f t="shared" si="11"/>
        <v>3518.9</v>
      </c>
      <c r="H19" s="114">
        <f t="shared" si="11"/>
        <v>4066.8</v>
      </c>
      <c r="I19" s="109"/>
      <c r="J19" s="109"/>
      <c r="K19" s="109"/>
      <c r="L19" s="109"/>
    </row>
    <row r="20" ht="15.75" customHeight="1">
      <c r="A20" s="89"/>
      <c r="B20" s="113"/>
      <c r="C20" s="115"/>
      <c r="D20" s="89"/>
      <c r="E20" s="116"/>
      <c r="F20" s="117"/>
      <c r="G20" s="89"/>
      <c r="H20" s="89"/>
      <c r="I20" s="89"/>
      <c r="J20" s="89"/>
      <c r="K20" s="116"/>
      <c r="L20" s="117"/>
      <c r="Q20" s="6"/>
    </row>
    <row r="21" ht="15.7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ht="15.75" customHeight="1">
      <c r="A22" s="89"/>
      <c r="B22" s="113"/>
      <c r="C22" s="90"/>
      <c r="D22" s="89"/>
      <c r="E22" s="89"/>
      <c r="F22" s="89"/>
      <c r="G22" s="89"/>
      <c r="H22" s="89"/>
      <c r="I22" s="89"/>
      <c r="J22" s="89"/>
      <c r="K22" s="89"/>
      <c r="L22" s="89"/>
    </row>
    <row r="23" ht="15.75" customHeight="1">
      <c r="A23" s="89"/>
      <c r="B23" s="118"/>
      <c r="D23" s="89"/>
      <c r="E23" s="89"/>
      <c r="F23" s="89"/>
      <c r="G23" s="116"/>
      <c r="H23" s="116"/>
      <c r="I23" s="116"/>
      <c r="J23" s="90"/>
      <c r="K23" s="89"/>
      <c r="L23" s="89"/>
    </row>
    <row r="24" ht="15.75" customHeight="1">
      <c r="A24" s="89"/>
      <c r="B24" s="89"/>
      <c r="C24" s="89"/>
      <c r="D24" s="89"/>
      <c r="E24" s="119"/>
      <c r="F24" s="120"/>
      <c r="G24" s="89"/>
      <c r="H24" s="89"/>
      <c r="I24" s="89"/>
      <c r="J24" s="89"/>
      <c r="K24" s="119"/>
      <c r="L24" s="120"/>
    </row>
    <row r="25" ht="15.75" customHeight="1">
      <c r="A25" s="113"/>
      <c r="B25" s="48"/>
      <c r="C25" s="90"/>
      <c r="D25" s="121"/>
      <c r="E25" s="89"/>
      <c r="F25" s="89"/>
      <c r="G25" s="89"/>
      <c r="H25" s="89"/>
      <c r="I25" s="89"/>
      <c r="J25" s="89"/>
      <c r="K25" s="122"/>
      <c r="L25" s="89"/>
    </row>
    <row r="26" ht="15.75" customHeight="1">
      <c r="A26" s="89"/>
      <c r="B26" s="113"/>
      <c r="C26" s="90"/>
      <c r="D26" s="121"/>
      <c r="E26" s="89"/>
      <c r="F26" s="89"/>
      <c r="G26" s="48"/>
      <c r="H26" s="48"/>
      <c r="I26" s="48"/>
      <c r="J26" s="123"/>
      <c r="K26" s="89"/>
      <c r="L26" s="89"/>
    </row>
    <row r="27" ht="15.75" customHeight="1">
      <c r="A27" s="89"/>
      <c r="B27" s="89"/>
      <c r="C27" s="89"/>
      <c r="D27" s="121"/>
      <c r="E27" s="89"/>
      <c r="F27" s="89"/>
      <c r="G27" s="122"/>
      <c r="H27" s="122"/>
      <c r="I27" s="122"/>
      <c r="J27" s="89"/>
      <c r="K27" s="89"/>
      <c r="L27" s="89"/>
    </row>
    <row r="28" ht="15.75" customHeight="1">
      <c r="A28" s="113"/>
      <c r="B28" s="48"/>
      <c r="C28" s="90"/>
      <c r="D28" s="121"/>
      <c r="E28" s="89"/>
      <c r="F28" s="89"/>
      <c r="G28" s="89"/>
      <c r="H28" s="89"/>
      <c r="I28" s="89"/>
      <c r="J28" s="89"/>
      <c r="K28" s="89"/>
      <c r="L28" s="89"/>
    </row>
    <row r="29" ht="15.75" customHeight="1">
      <c r="A29" s="89"/>
      <c r="B29" s="113"/>
      <c r="C29" s="90"/>
      <c r="D29" s="121"/>
      <c r="E29" s="89"/>
      <c r="F29" s="89"/>
      <c r="G29" s="89"/>
      <c r="H29" s="89"/>
      <c r="I29" s="89"/>
      <c r="J29" s="89"/>
      <c r="K29" s="89"/>
      <c r="L29" s="89"/>
    </row>
    <row r="30" ht="15.75" customHeight="1">
      <c r="A30" s="89"/>
      <c r="B30" s="113"/>
      <c r="C30" s="124"/>
      <c r="D30" s="89"/>
    </row>
    <row r="31" ht="15.75" customHeight="1">
      <c r="A31" s="89"/>
      <c r="B31" s="89"/>
      <c r="C31" s="89"/>
      <c r="D31" s="89"/>
    </row>
    <row r="32" ht="15.75" customHeight="1">
      <c r="A32" s="113"/>
      <c r="B32" s="113"/>
      <c r="C32" s="90"/>
      <c r="D32" s="121"/>
    </row>
    <row r="33" ht="15.75" customHeight="1">
      <c r="A33" s="113"/>
      <c r="B33" s="113"/>
      <c r="C33" s="90"/>
      <c r="D33" s="89"/>
    </row>
    <row r="34" ht="15.75" customHeight="1">
      <c r="A34" s="89"/>
      <c r="B34" s="89"/>
      <c r="C34" s="89"/>
      <c r="D34" s="121"/>
    </row>
    <row r="35" ht="15.75" customHeight="1">
      <c r="A35" s="89"/>
      <c r="B35" s="113"/>
      <c r="C35" s="115"/>
      <c r="D35" s="89"/>
    </row>
    <row r="36" ht="15.75" customHeight="1">
      <c r="A36" s="89"/>
      <c r="B36" s="89"/>
      <c r="C36" s="89"/>
      <c r="D36" s="89"/>
    </row>
    <row r="37" ht="15.75" customHeight="1">
      <c r="A37" s="89"/>
      <c r="B37" s="89"/>
      <c r="C37" s="89"/>
      <c r="D37" s="89"/>
    </row>
    <row r="38" ht="15.75" customHeight="1">
      <c r="A38" s="89"/>
      <c r="B38" s="118"/>
      <c r="D38" s="89"/>
    </row>
    <row r="39" ht="15.75" customHeight="1">
      <c r="A39" s="113"/>
      <c r="B39" s="48"/>
      <c r="C39" s="90"/>
      <c r="D39" s="121"/>
    </row>
    <row r="40" ht="15.75" customHeight="1">
      <c r="A40" s="89"/>
      <c r="B40" s="89"/>
      <c r="C40" s="89"/>
      <c r="D40" s="89"/>
    </row>
    <row r="41" ht="15.75" customHeight="1">
      <c r="A41" s="89"/>
      <c r="B41" s="125"/>
      <c r="D41" s="89"/>
    </row>
    <row r="42" ht="15.75" customHeight="1">
      <c r="A42" s="113"/>
      <c r="B42" s="113"/>
      <c r="C42" s="117"/>
      <c r="D42" s="121"/>
    </row>
    <row r="43" ht="15.75" customHeight="1">
      <c r="A43" s="89"/>
      <c r="B43" s="113"/>
      <c r="C43" s="90"/>
      <c r="D43" s="121"/>
    </row>
    <row r="44" ht="15.75" customHeight="1">
      <c r="A44" s="113"/>
      <c r="B44" s="113"/>
      <c r="C44" s="90"/>
      <c r="D44" s="122"/>
    </row>
    <row r="45" ht="15.75" customHeight="1">
      <c r="A45" s="113"/>
      <c r="B45" s="113"/>
      <c r="C45" s="90"/>
      <c r="D45" s="122"/>
    </row>
    <row r="46" ht="15.75" customHeight="1">
      <c r="A46" s="113"/>
      <c r="B46" s="113"/>
      <c r="C46" s="90"/>
      <c r="D46" s="121"/>
    </row>
    <row r="47" ht="15.75" customHeight="1">
      <c r="A47" s="113"/>
      <c r="B47" s="48"/>
      <c r="C47" s="126"/>
      <c r="D47" s="89"/>
    </row>
    <row r="48" ht="15.75" customHeight="1">
      <c r="A48" s="89"/>
      <c r="B48" s="113"/>
      <c r="C48" s="90"/>
      <c r="D48" s="89"/>
    </row>
    <row r="49" ht="15.75" customHeight="1">
      <c r="A49" s="89"/>
      <c r="B49" s="89"/>
      <c r="C49" s="89"/>
      <c r="D49" s="89"/>
    </row>
    <row r="50" ht="15.75" customHeight="1">
      <c r="A50" s="89"/>
      <c r="B50" s="113"/>
      <c r="C50" s="90"/>
      <c r="D50" s="89"/>
    </row>
    <row r="51" ht="15.75" customHeight="1">
      <c r="A51" s="89"/>
      <c r="B51" s="113"/>
      <c r="C51" s="90"/>
      <c r="D51" s="127"/>
    </row>
    <row r="52" ht="15.75" customHeight="1">
      <c r="A52" s="89"/>
      <c r="B52" s="113"/>
      <c r="C52" s="124"/>
      <c r="D52" s="89"/>
    </row>
    <row r="53" ht="15.75" customHeight="1">
      <c r="A53" s="113"/>
      <c r="B53" s="113"/>
      <c r="C53" s="90"/>
      <c r="D53" s="121"/>
    </row>
    <row r="54" ht="15.75" customHeight="1">
      <c r="A54" s="89"/>
      <c r="B54" s="89"/>
      <c r="C54" s="89"/>
      <c r="D54" s="89"/>
    </row>
    <row r="55" ht="15.75" customHeight="1">
      <c r="A55" s="89"/>
      <c r="B55" s="89"/>
      <c r="C55" s="89"/>
      <c r="D55" s="89"/>
    </row>
    <row r="56" ht="15.75" customHeight="1">
      <c r="A56" s="89"/>
      <c r="B56" s="113"/>
      <c r="C56" s="115"/>
      <c r="D56" s="89"/>
    </row>
    <row r="57" ht="15.75" customHeight="1">
      <c r="A57" s="89"/>
      <c r="B57" s="89"/>
      <c r="C57" s="89"/>
      <c r="D57" s="89"/>
    </row>
    <row r="58" ht="15.75" customHeight="1">
      <c r="A58" s="89"/>
      <c r="B58" s="89"/>
      <c r="C58" s="89"/>
      <c r="D58" s="89"/>
    </row>
    <row r="59" ht="15.75" customHeight="1">
      <c r="A59" s="89"/>
      <c r="B59" s="89"/>
      <c r="C59" s="89"/>
      <c r="D59" s="89"/>
    </row>
    <row r="60" ht="15.75" customHeight="1">
      <c r="A60" s="89"/>
      <c r="B60" s="89"/>
      <c r="C60" s="89"/>
      <c r="D60" s="89"/>
    </row>
    <row r="61" ht="15.75" customHeight="1">
      <c r="A61" s="89"/>
      <c r="B61" s="89"/>
      <c r="C61" s="89"/>
      <c r="D61" s="89"/>
    </row>
    <row r="62" ht="15.75" customHeight="1">
      <c r="A62" s="89"/>
      <c r="B62" s="89"/>
      <c r="C62" s="89"/>
      <c r="D62" s="89"/>
    </row>
    <row r="63" ht="15.75" customHeight="1">
      <c r="A63" s="89"/>
      <c r="B63" s="89"/>
      <c r="C63" s="89"/>
      <c r="D63" s="89"/>
    </row>
    <row r="64" ht="15.75" customHeight="1">
      <c r="A64" s="89"/>
      <c r="B64" s="89"/>
      <c r="C64" s="89"/>
      <c r="D64" s="89"/>
    </row>
    <row r="65" ht="15.75" customHeight="1">
      <c r="A65" s="89"/>
      <c r="B65" s="89"/>
      <c r="C65" s="89"/>
      <c r="D65" s="89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3:C23"/>
    <mergeCell ref="B38:C38"/>
    <mergeCell ref="B41:C41"/>
  </mergeCells>
  <conditionalFormatting sqref="C20 C35 C56">
    <cfRule type="cellIs" dxfId="0" priority="1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7.0"/>
    <col customWidth="1" min="3" max="3" width="21.63"/>
    <col customWidth="1" min="4" max="4" width="43.0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>
      <c r="P3" s="18" t="s">
        <v>89</v>
      </c>
    </row>
    <row r="4" ht="15.75" customHeight="1">
      <c r="B4" s="18" t="s">
        <v>90</v>
      </c>
      <c r="E4" s="128"/>
      <c r="L4" s="6"/>
      <c r="O4" s="129" t="s">
        <v>91</v>
      </c>
      <c r="P4" s="42" t="s">
        <v>92</v>
      </c>
      <c r="Q4" s="16">
        <v>22.6</v>
      </c>
      <c r="R4" s="21" t="s">
        <v>93</v>
      </c>
    </row>
    <row r="5" ht="15.75" customHeight="1">
      <c r="A5" s="129" t="s">
        <v>91</v>
      </c>
      <c r="B5" s="42" t="s">
        <v>92</v>
      </c>
      <c r="C5" s="16">
        <v>22.6</v>
      </c>
      <c r="D5" s="21" t="s">
        <v>93</v>
      </c>
      <c r="E5" s="89"/>
      <c r="F5" s="89"/>
      <c r="G5" s="130"/>
      <c r="H5" s="89"/>
      <c r="I5" s="89"/>
      <c r="J5" s="89"/>
    </row>
    <row r="6" ht="15.75" customHeight="1">
      <c r="E6" s="89"/>
      <c r="F6" s="89"/>
      <c r="G6" s="131"/>
      <c r="H6" s="132"/>
      <c r="I6" s="121"/>
      <c r="J6" s="89"/>
      <c r="P6" s="133" t="s">
        <v>94</v>
      </c>
    </row>
    <row r="7" ht="15.75" customHeight="1">
      <c r="A7" s="129" t="s">
        <v>95</v>
      </c>
      <c r="B7" s="134" t="s">
        <v>96</v>
      </c>
      <c r="C7" s="135">
        <v>103.0</v>
      </c>
      <c r="D7" s="21" t="s">
        <v>97</v>
      </c>
      <c r="E7" s="89"/>
      <c r="F7" s="89"/>
      <c r="G7" s="116"/>
      <c r="H7" s="90"/>
      <c r="I7" s="89"/>
      <c r="J7" s="89"/>
      <c r="O7" s="129" t="s">
        <v>95</v>
      </c>
      <c r="P7" s="134" t="s">
        <v>96</v>
      </c>
      <c r="Q7" s="135"/>
      <c r="R7" s="21" t="s">
        <v>97</v>
      </c>
    </row>
    <row r="8" ht="15.75" customHeight="1">
      <c r="B8" s="134" t="s">
        <v>98</v>
      </c>
      <c r="C8" s="16">
        <v>425.8</v>
      </c>
      <c r="D8" s="21" t="s">
        <v>99</v>
      </c>
      <c r="E8" s="89"/>
      <c r="F8" s="89"/>
      <c r="G8" s="116"/>
      <c r="H8" s="136"/>
      <c r="I8" s="90"/>
      <c r="J8" s="89"/>
      <c r="P8" s="134" t="s">
        <v>98</v>
      </c>
      <c r="Q8" s="16">
        <f>415.6*2</f>
        <v>831.2</v>
      </c>
      <c r="R8" s="21" t="s">
        <v>99</v>
      </c>
    </row>
    <row r="9" ht="15.75" customHeight="1">
      <c r="B9" s="134" t="s">
        <v>100</v>
      </c>
      <c r="C9" s="16">
        <v>4128.0</v>
      </c>
      <c r="D9" s="21" t="s">
        <v>101</v>
      </c>
      <c r="E9" s="89"/>
      <c r="F9" s="89"/>
      <c r="G9" s="89"/>
      <c r="H9" s="89"/>
      <c r="I9" s="89"/>
      <c r="J9" s="89"/>
      <c r="K9" s="6"/>
      <c r="O9" s="129" t="s">
        <v>102</v>
      </c>
      <c r="P9" s="134" t="s">
        <v>103</v>
      </c>
      <c r="Q9" s="16">
        <f>3825.81*2</f>
        <v>7651.62</v>
      </c>
      <c r="R9" s="41"/>
    </row>
    <row r="10" ht="15.75" customHeight="1">
      <c r="A10" s="129" t="s">
        <v>104</v>
      </c>
      <c r="B10" s="134" t="s">
        <v>105</v>
      </c>
      <c r="C10" s="17">
        <f>(C9-C8)/C7</f>
        <v>35.94368932</v>
      </c>
      <c r="E10" s="89"/>
      <c r="F10" s="89"/>
      <c r="G10" s="89"/>
      <c r="H10" s="89"/>
      <c r="I10" s="89"/>
      <c r="J10" s="89"/>
      <c r="O10" s="129"/>
      <c r="P10" s="134" t="s">
        <v>105</v>
      </c>
      <c r="Q10" s="17">
        <v>36.0</v>
      </c>
      <c r="R10" s="41" t="s">
        <v>106</v>
      </c>
    </row>
    <row r="11" ht="15.75" customHeight="1">
      <c r="D11" s="21"/>
      <c r="E11" s="89"/>
      <c r="F11" s="89"/>
      <c r="G11" s="116"/>
      <c r="H11" s="90"/>
      <c r="I11" s="89"/>
      <c r="J11" s="89"/>
      <c r="O11" s="129" t="s">
        <v>107</v>
      </c>
      <c r="P11" s="134" t="s">
        <v>108</v>
      </c>
      <c r="Q11" s="17">
        <f>Q7*Q4</f>
        <v>0</v>
      </c>
      <c r="R11" s="21" t="s">
        <v>109</v>
      </c>
    </row>
    <row r="12" ht="15.75" customHeight="1">
      <c r="E12" s="89"/>
      <c r="F12" s="89"/>
      <c r="G12" s="116"/>
      <c r="H12" s="137"/>
      <c r="I12" s="89"/>
      <c r="J12" s="89"/>
      <c r="O12" s="129"/>
      <c r="P12" s="138" t="s">
        <v>110</v>
      </c>
      <c r="Q12" s="139">
        <f>Q10*Q7</f>
        <v>0</v>
      </c>
      <c r="R12" s="1"/>
    </row>
    <row r="13" ht="15.75" customHeight="1">
      <c r="B13" s="140" t="s">
        <v>111</v>
      </c>
      <c r="C13" s="16">
        <v>32.5</v>
      </c>
      <c r="D13" s="21" t="s">
        <v>112</v>
      </c>
      <c r="E13" s="89"/>
      <c r="F13" s="89"/>
      <c r="G13" s="89"/>
      <c r="H13" s="89"/>
      <c r="I13" s="89"/>
      <c r="J13" s="90"/>
      <c r="P13" s="134" t="s">
        <v>113</v>
      </c>
      <c r="Q13" s="17">
        <f>(Q10-Q4)*Q7</f>
        <v>0</v>
      </c>
    </row>
    <row r="14" ht="15.75" customHeight="1">
      <c r="A14" s="129" t="s">
        <v>114</v>
      </c>
      <c r="B14" s="140" t="s">
        <v>115</v>
      </c>
      <c r="C14" s="141">
        <f>C13*C7+C8</f>
        <v>3773.3</v>
      </c>
      <c r="D14" s="1" t="s">
        <v>116</v>
      </c>
      <c r="E14" s="142"/>
      <c r="G14" s="89"/>
      <c r="H14" s="89"/>
      <c r="I14" s="142"/>
    </row>
    <row r="15" ht="15.75" customHeight="1">
      <c r="A15" s="129"/>
      <c r="B15" s="140" t="s">
        <v>117</v>
      </c>
      <c r="C15" s="17">
        <f>C13*C7-C5*C7</f>
        <v>1019.7</v>
      </c>
      <c r="D15" s="21"/>
      <c r="E15" s="116"/>
      <c r="F15" s="143"/>
      <c r="G15" s="89"/>
      <c r="H15" s="89"/>
      <c r="I15" s="116"/>
      <c r="J15" s="143"/>
      <c r="P15" s="134" t="s">
        <v>118</v>
      </c>
      <c r="Q15" s="16">
        <v>4128.0</v>
      </c>
    </row>
    <row r="16" ht="15.75" customHeight="1">
      <c r="A16" s="129" t="s">
        <v>119</v>
      </c>
      <c r="B16" s="140" t="s">
        <v>120</v>
      </c>
      <c r="C16" s="17">
        <f>C15*0.06</f>
        <v>61.182</v>
      </c>
      <c r="D16" s="21" t="s">
        <v>121</v>
      </c>
      <c r="E16" s="116"/>
      <c r="F16" s="143"/>
      <c r="G16" s="89"/>
      <c r="H16" s="89"/>
      <c r="I16" s="116"/>
      <c r="J16" s="143"/>
      <c r="P16" s="134" t="s">
        <v>122</v>
      </c>
      <c r="Q16" s="16">
        <v>3716.0</v>
      </c>
      <c r="R16" s="144" t="s">
        <v>123</v>
      </c>
    </row>
    <row r="17" ht="15.75" customHeight="1">
      <c r="E17" s="89"/>
      <c r="F17" s="89"/>
      <c r="G17" s="89"/>
      <c r="H17" s="89"/>
      <c r="I17" s="89"/>
      <c r="J17" s="89"/>
      <c r="P17" s="134" t="s">
        <v>124</v>
      </c>
      <c r="Q17" s="145" t="str">
        <f>1-Q16/Q12</f>
        <v>#DIV/0!</v>
      </c>
    </row>
    <row r="18" ht="15.75" customHeight="1">
      <c r="B18" s="140" t="s">
        <v>125</v>
      </c>
      <c r="C18" s="146">
        <f>C14-C16-C8-C5*C7</f>
        <v>958.518</v>
      </c>
      <c r="E18" s="116"/>
      <c r="F18" s="117"/>
      <c r="G18" s="89"/>
      <c r="H18" s="89"/>
      <c r="I18" s="116"/>
      <c r="J18" s="117"/>
      <c r="O18" s="129" t="s">
        <v>119</v>
      </c>
      <c r="P18" s="140" t="s">
        <v>120</v>
      </c>
      <c r="Q18" s="17">
        <f>Q16*0.06</f>
        <v>222.96</v>
      </c>
      <c r="R18" s="21" t="s">
        <v>126</v>
      </c>
    </row>
    <row r="19" ht="15.75" customHeight="1">
      <c r="E19" s="89"/>
      <c r="F19" s="89"/>
      <c r="G19" s="89"/>
      <c r="H19" s="89"/>
      <c r="I19" s="89"/>
      <c r="J19" s="89"/>
    </row>
    <row r="20" ht="15.75" customHeight="1">
      <c r="B20" s="113"/>
      <c r="C20" s="90"/>
      <c r="E20" s="89"/>
      <c r="F20" s="89"/>
      <c r="G20" s="89"/>
      <c r="H20" s="89"/>
      <c r="I20" s="89"/>
      <c r="J20" s="89"/>
    </row>
    <row r="21" ht="15.75" customHeight="1">
      <c r="B21" s="18" t="s">
        <v>127</v>
      </c>
      <c r="E21" s="89"/>
      <c r="F21" s="89"/>
      <c r="G21" s="116"/>
      <c r="H21" s="90"/>
      <c r="I21" s="89"/>
      <c r="J21" s="89"/>
      <c r="P21" s="140" t="s">
        <v>125</v>
      </c>
      <c r="Q21" s="146">
        <f>Q13-(Q15-Q16)-Q18</f>
        <v>-634.96</v>
      </c>
    </row>
    <row r="22" ht="15.75" customHeight="1">
      <c r="E22" s="119"/>
      <c r="F22" s="120"/>
      <c r="G22" s="89"/>
      <c r="H22" s="89"/>
      <c r="I22" s="119"/>
      <c r="J22" s="120"/>
    </row>
    <row r="23" ht="15.75" customHeight="1">
      <c r="A23" s="129"/>
      <c r="B23" s="42" t="s">
        <v>128</v>
      </c>
      <c r="C23" s="16">
        <v>2000.0</v>
      </c>
      <c r="D23" s="21" t="s">
        <v>129</v>
      </c>
      <c r="E23" s="89"/>
      <c r="F23" s="89"/>
      <c r="G23" s="89"/>
      <c r="H23" s="89"/>
      <c r="I23" s="122"/>
      <c r="J23" s="89"/>
    </row>
    <row r="24" ht="15.75" customHeight="1">
      <c r="B24" s="134" t="s">
        <v>100</v>
      </c>
      <c r="C24" s="16">
        <v>1900.0</v>
      </c>
      <c r="D24" s="21" t="s">
        <v>101</v>
      </c>
      <c r="E24" s="89"/>
      <c r="F24" s="89"/>
      <c r="G24" s="48"/>
      <c r="H24" s="123"/>
      <c r="I24" s="89"/>
      <c r="J24" s="89"/>
    </row>
    <row r="25" ht="15.75" customHeight="1">
      <c r="D25" s="21"/>
      <c r="E25" s="89"/>
      <c r="F25" s="89"/>
      <c r="G25" s="122"/>
      <c r="H25" s="89"/>
      <c r="I25" s="89"/>
      <c r="J25" s="89"/>
    </row>
    <row r="26" ht="15.75" customHeight="1">
      <c r="A26" s="129"/>
      <c r="B26" s="42" t="s">
        <v>130</v>
      </c>
      <c r="C26" s="16">
        <v>2000.0</v>
      </c>
      <c r="D26" s="21" t="s">
        <v>131</v>
      </c>
      <c r="E26" s="89"/>
      <c r="F26" s="89"/>
      <c r="G26" s="89"/>
      <c r="H26" s="89"/>
      <c r="I26" s="89"/>
      <c r="J26" s="89"/>
    </row>
    <row r="27" ht="15.75" customHeight="1">
      <c r="B27" s="134" t="s">
        <v>132</v>
      </c>
      <c r="C27" s="16">
        <v>1400.0</v>
      </c>
      <c r="D27" s="21" t="s">
        <v>133</v>
      </c>
      <c r="E27" s="89"/>
      <c r="F27" s="89"/>
      <c r="G27" s="89"/>
      <c r="H27" s="89"/>
      <c r="I27" s="89"/>
      <c r="J27" s="89"/>
    </row>
    <row r="28" ht="15.75" customHeight="1">
      <c r="B28" s="134" t="s">
        <v>124</v>
      </c>
      <c r="C28" s="145">
        <f>1-C27/C26</f>
        <v>0.3</v>
      </c>
    </row>
    <row r="29" ht="15.75" customHeight="1"/>
    <row r="30" ht="15.75" customHeight="1">
      <c r="A30" s="129"/>
      <c r="B30" s="140" t="s">
        <v>134</v>
      </c>
      <c r="C30" s="16">
        <v>1800.0</v>
      </c>
      <c r="D30" s="21" t="s">
        <v>135</v>
      </c>
    </row>
    <row r="31" ht="15.75" customHeight="1">
      <c r="A31" s="129"/>
      <c r="B31" s="140" t="s">
        <v>120</v>
      </c>
      <c r="C31" s="17">
        <f>(C30-C27)*0.06</f>
        <v>24</v>
      </c>
      <c r="D31" s="1" t="s">
        <v>116</v>
      </c>
    </row>
    <row r="32" ht="15.75" customHeight="1">
      <c r="D32" s="21" t="s">
        <v>126</v>
      </c>
    </row>
    <row r="33" ht="15.75" customHeight="1">
      <c r="B33" s="140" t="s">
        <v>125</v>
      </c>
      <c r="C33" s="146">
        <f>C30-(C23-C26)-C27-C31</f>
        <v>376</v>
      </c>
    </row>
    <row r="34" ht="15.75" customHeight="1"/>
    <row r="35" ht="15.75" customHeight="1"/>
    <row r="36" ht="15.75" customHeight="1">
      <c r="B36" s="18"/>
    </row>
    <row r="37" ht="15.75" customHeight="1">
      <c r="A37" s="129"/>
      <c r="B37" s="18"/>
      <c r="D37" s="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6:C36"/>
    <mergeCell ref="B37:C37"/>
    <mergeCell ref="P3:Q3"/>
    <mergeCell ref="B4:C4"/>
    <mergeCell ref="E4:J4"/>
    <mergeCell ref="P6:Q6"/>
    <mergeCell ref="E14:F14"/>
    <mergeCell ref="I14:J14"/>
    <mergeCell ref="B21:C21"/>
  </mergeCells>
  <conditionalFormatting sqref="C18 C33 Q21">
    <cfRule type="cellIs" dxfId="0" priority="1" operator="lessThan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5.13"/>
    <col customWidth="1" min="2" max="2" width="22.13"/>
    <col customWidth="1" min="3" max="3" width="21.63"/>
    <col customWidth="1" min="4" max="4" width="9.88"/>
    <col customWidth="1" min="5" max="5" width="7.88"/>
    <col customWidth="1" min="6" max="6" width="7.75"/>
    <col customWidth="1" min="7" max="9" width="10.63"/>
    <col customWidth="1" min="10" max="10" width="23.0"/>
    <col customWidth="1" min="11" max="11" width="10.13"/>
    <col customWidth="1" min="12" max="12" width="21.63"/>
    <col customWidth="1" min="13" max="13" width="10.25"/>
  </cols>
  <sheetData>
    <row r="1" ht="15.75" customHeight="1">
      <c r="A1" s="90"/>
      <c r="B1" s="89"/>
    </row>
    <row r="2" ht="15.75" customHeight="1">
      <c r="A2" s="90"/>
      <c r="B2" s="89"/>
      <c r="C2" s="89"/>
      <c r="D2" s="89"/>
    </row>
    <row r="3" ht="15.75" customHeight="1">
      <c r="A3" s="89"/>
      <c r="B3" s="89"/>
      <c r="C3" s="89"/>
      <c r="D3" s="90">
        <v>25.0</v>
      </c>
      <c r="E3" s="6"/>
      <c r="F3" s="6">
        <v>17.5</v>
      </c>
      <c r="G3" s="6"/>
      <c r="H3" s="6">
        <v>15.0</v>
      </c>
      <c r="I3" s="6"/>
    </row>
    <row r="4" ht="15.75" customHeight="1">
      <c r="A4" s="147" t="s">
        <v>136</v>
      </c>
      <c r="B4" s="148" t="s">
        <v>137</v>
      </c>
      <c r="C4" s="149" t="s">
        <v>138</v>
      </c>
      <c r="D4" s="150" t="s">
        <v>139</v>
      </c>
      <c r="E4" s="151" t="s">
        <v>140</v>
      </c>
      <c r="F4" s="152" t="s">
        <v>141</v>
      </c>
      <c r="G4" s="153" t="s">
        <v>140</v>
      </c>
      <c r="H4" s="154" t="s">
        <v>142</v>
      </c>
      <c r="I4" s="155" t="s">
        <v>140</v>
      </c>
      <c r="K4" s="128"/>
      <c r="L4" s="128"/>
      <c r="M4" s="128"/>
      <c r="O4" s="6"/>
    </row>
    <row r="5" ht="15.75" customHeight="1">
      <c r="A5" s="156" t="s">
        <v>143</v>
      </c>
      <c r="B5" s="157" t="s">
        <v>143</v>
      </c>
      <c r="C5" s="158">
        <v>600.0</v>
      </c>
      <c r="D5" s="159">
        <f t="shared" ref="D5:D24" si="1">$C5/D$3</f>
        <v>24</v>
      </c>
      <c r="E5" s="160">
        <v>25.0</v>
      </c>
      <c r="F5" s="159">
        <f t="shared" ref="F5:F24" si="2">$C5/F$3</f>
        <v>34.28571429</v>
      </c>
      <c r="G5" s="160">
        <v>35.0</v>
      </c>
      <c r="H5" s="159">
        <f t="shared" ref="H5:H24" si="3">$C5/H$3</f>
        <v>40</v>
      </c>
      <c r="I5" s="161">
        <v>40.0</v>
      </c>
      <c r="J5" s="130"/>
      <c r="K5" s="89"/>
      <c r="L5" s="89"/>
      <c r="M5" s="89"/>
    </row>
    <row r="6" ht="15.75" customHeight="1">
      <c r="A6" s="162"/>
      <c r="B6" s="163"/>
      <c r="C6" s="164">
        <v>450.0</v>
      </c>
      <c r="D6" s="165">
        <f t="shared" si="1"/>
        <v>18</v>
      </c>
      <c r="E6" s="166">
        <v>15.0</v>
      </c>
      <c r="F6" s="165">
        <f t="shared" si="2"/>
        <v>25.71428571</v>
      </c>
      <c r="G6" s="166">
        <v>25.0</v>
      </c>
      <c r="H6" s="165">
        <f t="shared" si="3"/>
        <v>30</v>
      </c>
      <c r="I6" s="167">
        <v>30.0</v>
      </c>
      <c r="J6" s="131"/>
      <c r="K6" s="89"/>
      <c r="L6" s="89"/>
      <c r="M6" s="89"/>
    </row>
    <row r="7" ht="15.75" customHeight="1">
      <c r="A7" s="162"/>
      <c r="B7" s="163"/>
      <c r="C7" s="168">
        <v>350.0</v>
      </c>
      <c r="D7" s="165">
        <f t="shared" si="1"/>
        <v>14</v>
      </c>
      <c r="E7" s="166">
        <v>12.0</v>
      </c>
      <c r="F7" s="165">
        <f t="shared" si="2"/>
        <v>20</v>
      </c>
      <c r="G7" s="166">
        <v>20.0</v>
      </c>
      <c r="H7" s="165">
        <f t="shared" si="3"/>
        <v>23.33333333</v>
      </c>
      <c r="I7" s="167">
        <v>20.0</v>
      </c>
      <c r="J7" s="116"/>
      <c r="K7" s="89"/>
      <c r="L7" s="89"/>
      <c r="M7" s="89"/>
    </row>
    <row r="8" ht="15.75" customHeight="1">
      <c r="A8" s="162"/>
      <c r="B8" s="169"/>
      <c r="C8" s="170">
        <v>250.0</v>
      </c>
      <c r="D8" s="171">
        <f t="shared" si="1"/>
        <v>10</v>
      </c>
      <c r="E8" s="172">
        <v>8.0</v>
      </c>
      <c r="F8" s="171">
        <f t="shared" si="2"/>
        <v>14.28571429</v>
      </c>
      <c r="G8" s="172">
        <v>10.0</v>
      </c>
      <c r="H8" s="171">
        <f t="shared" si="3"/>
        <v>16.66666667</v>
      </c>
      <c r="I8" s="173">
        <v>15.0</v>
      </c>
      <c r="J8" s="116"/>
      <c r="K8" s="90"/>
      <c r="L8" s="89"/>
      <c r="M8" s="89"/>
    </row>
    <row r="9" ht="15.75" customHeight="1">
      <c r="A9" s="162"/>
      <c r="B9" s="157" t="s">
        <v>144</v>
      </c>
      <c r="C9" s="158">
        <v>700.0</v>
      </c>
      <c r="D9" s="159">
        <f t="shared" si="1"/>
        <v>28</v>
      </c>
      <c r="E9" s="160">
        <v>30.0</v>
      </c>
      <c r="F9" s="159">
        <f t="shared" si="2"/>
        <v>40</v>
      </c>
      <c r="G9" s="160">
        <v>40.0</v>
      </c>
      <c r="H9" s="159">
        <f t="shared" si="3"/>
        <v>46.66666667</v>
      </c>
      <c r="I9" s="161">
        <v>50.0</v>
      </c>
      <c r="J9" s="89"/>
      <c r="K9" s="137"/>
      <c r="L9" s="89"/>
      <c r="M9" s="89"/>
      <c r="N9" s="6"/>
    </row>
    <row r="10" ht="15.75" customHeight="1">
      <c r="A10" s="162"/>
      <c r="B10" s="163"/>
      <c r="C10" s="164">
        <v>500.0</v>
      </c>
      <c r="D10" s="165">
        <f t="shared" si="1"/>
        <v>20</v>
      </c>
      <c r="E10" s="166">
        <v>18.0</v>
      </c>
      <c r="F10" s="165">
        <f t="shared" si="2"/>
        <v>28.57142857</v>
      </c>
      <c r="G10" s="166">
        <v>25.0</v>
      </c>
      <c r="H10" s="165">
        <f t="shared" si="3"/>
        <v>33.33333333</v>
      </c>
      <c r="I10" s="167">
        <v>30.0</v>
      </c>
      <c r="J10" s="89"/>
      <c r="K10" s="89"/>
      <c r="M10" s="89"/>
    </row>
    <row r="11" ht="15.75" customHeight="1">
      <c r="A11" s="162"/>
      <c r="B11" s="163"/>
      <c r="C11" s="168">
        <v>400.0</v>
      </c>
      <c r="D11" s="165">
        <f t="shared" si="1"/>
        <v>16</v>
      </c>
      <c r="E11" s="166">
        <v>15.0</v>
      </c>
      <c r="F11" s="165">
        <f t="shared" si="2"/>
        <v>22.85714286</v>
      </c>
      <c r="G11" s="166">
        <v>20.0</v>
      </c>
      <c r="H11" s="165">
        <f t="shared" si="3"/>
        <v>26.66666667</v>
      </c>
      <c r="I11" s="167">
        <v>25.0</v>
      </c>
      <c r="J11" s="116"/>
      <c r="M11" s="89"/>
    </row>
    <row r="12" ht="15.75" customHeight="1">
      <c r="A12" s="162"/>
      <c r="B12" s="169"/>
      <c r="C12" s="170">
        <v>300.0</v>
      </c>
      <c r="D12" s="171">
        <f t="shared" si="1"/>
        <v>12</v>
      </c>
      <c r="E12" s="172">
        <v>10.0</v>
      </c>
      <c r="F12" s="171">
        <f t="shared" si="2"/>
        <v>17.14285714</v>
      </c>
      <c r="G12" s="172">
        <v>15.0</v>
      </c>
      <c r="H12" s="171">
        <f t="shared" si="3"/>
        <v>20</v>
      </c>
      <c r="I12" s="173">
        <v>20.0</v>
      </c>
      <c r="J12" s="116"/>
      <c r="K12" s="89"/>
      <c r="M12" s="89"/>
    </row>
    <row r="13" ht="15.75" customHeight="1">
      <c r="A13" s="162"/>
      <c r="B13" s="157" t="s">
        <v>145</v>
      </c>
      <c r="C13" s="158">
        <v>1600.0</v>
      </c>
      <c r="D13" s="159">
        <f t="shared" si="1"/>
        <v>64</v>
      </c>
      <c r="E13" s="160">
        <v>65.0</v>
      </c>
      <c r="F13" s="159">
        <f t="shared" si="2"/>
        <v>91.42857143</v>
      </c>
      <c r="G13" s="160">
        <v>90.0</v>
      </c>
      <c r="H13" s="159">
        <f t="shared" si="3"/>
        <v>106.6666667</v>
      </c>
      <c r="I13" s="161">
        <v>110.0</v>
      </c>
      <c r="J13" s="89"/>
      <c r="K13" s="89"/>
      <c r="L13" s="89"/>
      <c r="M13" s="90"/>
    </row>
    <row r="14" ht="15.75" customHeight="1">
      <c r="A14" s="162"/>
      <c r="B14" s="163"/>
      <c r="C14" s="164">
        <v>1400.0</v>
      </c>
      <c r="D14" s="165">
        <f t="shared" si="1"/>
        <v>56</v>
      </c>
      <c r="E14" s="166">
        <v>55.0</v>
      </c>
      <c r="F14" s="165">
        <f t="shared" si="2"/>
        <v>80</v>
      </c>
      <c r="G14" s="166">
        <v>80.0</v>
      </c>
      <c r="H14" s="165">
        <f t="shared" si="3"/>
        <v>93.33333333</v>
      </c>
      <c r="I14" s="167">
        <v>90.0</v>
      </c>
      <c r="J14" s="89"/>
      <c r="K14" s="89"/>
      <c r="L14" s="142"/>
      <c r="R14" s="6"/>
    </row>
    <row r="15" ht="15.75" customHeight="1">
      <c r="A15" s="162"/>
      <c r="B15" s="163"/>
      <c r="C15" s="168">
        <v>900.0</v>
      </c>
      <c r="D15" s="165">
        <f t="shared" si="1"/>
        <v>36</v>
      </c>
      <c r="E15" s="166">
        <v>35.0</v>
      </c>
      <c r="F15" s="165">
        <f t="shared" si="2"/>
        <v>51.42857143</v>
      </c>
      <c r="G15" s="166">
        <v>50.0</v>
      </c>
      <c r="H15" s="165">
        <f t="shared" si="3"/>
        <v>60</v>
      </c>
      <c r="I15" s="167">
        <v>60.0</v>
      </c>
      <c r="J15" s="89"/>
      <c r="K15" s="89"/>
      <c r="L15" s="116"/>
      <c r="M15" s="143"/>
    </row>
    <row r="16" ht="15.75" customHeight="1">
      <c r="A16" s="162"/>
      <c r="B16" s="169"/>
      <c r="C16" s="170">
        <v>600.0</v>
      </c>
      <c r="D16" s="171">
        <f t="shared" si="1"/>
        <v>24</v>
      </c>
      <c r="E16" s="172">
        <v>20.0</v>
      </c>
      <c r="F16" s="171">
        <f t="shared" si="2"/>
        <v>34.28571429</v>
      </c>
      <c r="G16" s="172">
        <v>30.0</v>
      </c>
      <c r="H16" s="171">
        <f t="shared" si="3"/>
        <v>40</v>
      </c>
      <c r="I16" s="173">
        <v>40.0</v>
      </c>
      <c r="J16" s="89"/>
      <c r="K16" s="89"/>
      <c r="L16" s="89"/>
      <c r="M16" s="89"/>
    </row>
    <row r="17" ht="15.75" customHeight="1">
      <c r="A17" s="162"/>
      <c r="B17" s="157" t="s">
        <v>146</v>
      </c>
      <c r="C17" s="158">
        <v>1800.0</v>
      </c>
      <c r="D17" s="159">
        <f t="shared" si="1"/>
        <v>72</v>
      </c>
      <c r="E17" s="160">
        <v>70.0</v>
      </c>
      <c r="F17" s="159">
        <f t="shared" si="2"/>
        <v>102.8571429</v>
      </c>
      <c r="G17" s="160">
        <v>105.0</v>
      </c>
      <c r="H17" s="159">
        <f t="shared" si="3"/>
        <v>120</v>
      </c>
      <c r="I17" s="161">
        <v>120.0</v>
      </c>
      <c r="J17" s="89"/>
      <c r="L17" s="116"/>
      <c r="M17" s="117"/>
      <c r="R17" s="6"/>
    </row>
    <row r="18" ht="15.75" customHeight="1">
      <c r="A18" s="162"/>
      <c r="B18" s="163"/>
      <c r="C18" s="164">
        <v>1500.0</v>
      </c>
      <c r="D18" s="165">
        <f t="shared" si="1"/>
        <v>60</v>
      </c>
      <c r="E18" s="166">
        <v>60.0</v>
      </c>
      <c r="F18" s="165">
        <f t="shared" si="2"/>
        <v>85.71428571</v>
      </c>
      <c r="G18" s="166">
        <v>85.0</v>
      </c>
      <c r="H18" s="165">
        <f t="shared" si="3"/>
        <v>100</v>
      </c>
      <c r="I18" s="167">
        <v>100.0</v>
      </c>
      <c r="J18" s="89"/>
      <c r="K18" s="89"/>
      <c r="L18" s="89"/>
      <c r="M18" s="89"/>
    </row>
    <row r="19" ht="15.75" customHeight="1">
      <c r="A19" s="162"/>
      <c r="B19" s="163"/>
      <c r="C19" s="168">
        <v>1200.0</v>
      </c>
      <c r="D19" s="165">
        <f t="shared" si="1"/>
        <v>48</v>
      </c>
      <c r="E19" s="166">
        <v>45.0</v>
      </c>
      <c r="F19" s="165">
        <f t="shared" si="2"/>
        <v>68.57142857</v>
      </c>
      <c r="G19" s="166">
        <v>65.0</v>
      </c>
      <c r="H19" s="165">
        <f t="shared" si="3"/>
        <v>80</v>
      </c>
      <c r="I19" s="167">
        <v>80.0</v>
      </c>
      <c r="J19" s="89"/>
      <c r="K19" s="89"/>
      <c r="L19" s="89"/>
      <c r="M19" s="89"/>
    </row>
    <row r="20" ht="15.75" customHeight="1">
      <c r="A20" s="162"/>
      <c r="B20" s="169"/>
      <c r="C20" s="170">
        <v>900.0</v>
      </c>
      <c r="D20" s="171">
        <f t="shared" si="1"/>
        <v>36</v>
      </c>
      <c r="E20" s="172">
        <v>35.0</v>
      </c>
      <c r="F20" s="171">
        <f t="shared" si="2"/>
        <v>51.42857143</v>
      </c>
      <c r="G20" s="172">
        <v>50.0</v>
      </c>
      <c r="H20" s="171">
        <f t="shared" si="3"/>
        <v>60</v>
      </c>
      <c r="I20" s="173">
        <v>60.0</v>
      </c>
      <c r="J20" s="116"/>
      <c r="K20" s="90"/>
      <c r="L20" s="89"/>
      <c r="M20" s="89"/>
    </row>
    <row r="21" ht="15.75" customHeight="1">
      <c r="A21" s="162"/>
      <c r="B21" s="157" t="s">
        <v>147</v>
      </c>
      <c r="C21" s="158">
        <v>900.0</v>
      </c>
      <c r="D21" s="159">
        <f t="shared" si="1"/>
        <v>36</v>
      </c>
      <c r="E21" s="160">
        <v>35.0</v>
      </c>
      <c r="F21" s="159">
        <f t="shared" si="2"/>
        <v>51.42857143</v>
      </c>
      <c r="G21" s="160">
        <v>50.0</v>
      </c>
      <c r="H21" s="159">
        <f t="shared" si="3"/>
        <v>60</v>
      </c>
      <c r="I21" s="161">
        <v>60.0</v>
      </c>
      <c r="J21" s="89"/>
      <c r="K21" s="89"/>
      <c r="L21" s="119"/>
      <c r="M21" s="120"/>
    </row>
    <row r="22" ht="15.75" customHeight="1">
      <c r="A22" s="162"/>
      <c r="B22" s="163"/>
      <c r="C22" s="164">
        <v>750.0</v>
      </c>
      <c r="D22" s="165">
        <f t="shared" si="1"/>
        <v>30</v>
      </c>
      <c r="E22" s="166">
        <v>30.0</v>
      </c>
      <c r="F22" s="165">
        <f t="shared" si="2"/>
        <v>42.85714286</v>
      </c>
      <c r="G22" s="166">
        <v>40.0</v>
      </c>
      <c r="H22" s="165">
        <f t="shared" si="3"/>
        <v>50</v>
      </c>
      <c r="I22" s="167">
        <v>50.0</v>
      </c>
      <c r="J22" s="89"/>
      <c r="K22" s="89"/>
      <c r="L22" s="122"/>
      <c r="M22" s="89"/>
    </row>
    <row r="23" ht="15.75" customHeight="1">
      <c r="A23" s="162"/>
      <c r="B23" s="163"/>
      <c r="C23" s="168">
        <v>550.0</v>
      </c>
      <c r="D23" s="165">
        <f t="shared" si="1"/>
        <v>22</v>
      </c>
      <c r="E23" s="166">
        <v>20.0</v>
      </c>
      <c r="F23" s="165">
        <f t="shared" si="2"/>
        <v>31.42857143</v>
      </c>
      <c r="G23" s="166">
        <v>30.0</v>
      </c>
      <c r="H23" s="165">
        <f t="shared" si="3"/>
        <v>36.66666667</v>
      </c>
      <c r="I23" s="167">
        <v>35.0</v>
      </c>
      <c r="J23" s="48"/>
      <c r="K23" s="123"/>
      <c r="L23" s="89"/>
      <c r="M23" s="89"/>
    </row>
    <row r="24" ht="15.75" customHeight="1">
      <c r="A24" s="174"/>
      <c r="B24" s="169"/>
      <c r="C24" s="170">
        <v>400.0</v>
      </c>
      <c r="D24" s="171">
        <f t="shared" si="1"/>
        <v>16</v>
      </c>
      <c r="E24" s="172">
        <v>15.0</v>
      </c>
      <c r="F24" s="171">
        <f t="shared" si="2"/>
        <v>22.85714286</v>
      </c>
      <c r="G24" s="172">
        <v>20.0</v>
      </c>
      <c r="H24" s="171">
        <f t="shared" si="3"/>
        <v>26.66666667</v>
      </c>
      <c r="I24" s="173">
        <v>25.0</v>
      </c>
      <c r="J24" s="122"/>
      <c r="K24" s="89"/>
      <c r="L24" s="89"/>
      <c r="M24" s="89"/>
    </row>
    <row r="25" ht="15.75" customHeight="1">
      <c r="J25" s="89"/>
      <c r="K25" s="89"/>
      <c r="L25" s="89"/>
      <c r="M25" s="89"/>
    </row>
    <row r="26" ht="15.75" customHeight="1">
      <c r="A26" s="147" t="s">
        <v>136</v>
      </c>
      <c r="B26" s="148" t="s">
        <v>137</v>
      </c>
      <c r="C26" s="149" t="s">
        <v>138</v>
      </c>
      <c r="D26" s="150" t="s">
        <v>139</v>
      </c>
      <c r="E26" s="151" t="s">
        <v>140</v>
      </c>
      <c r="F26" s="152" t="s">
        <v>141</v>
      </c>
      <c r="G26" s="153" t="s">
        <v>140</v>
      </c>
      <c r="H26" s="154" t="s">
        <v>142</v>
      </c>
      <c r="I26" s="155" t="s">
        <v>140</v>
      </c>
      <c r="J26" s="89"/>
      <c r="K26" s="89"/>
      <c r="L26" s="89"/>
      <c r="M26" s="89"/>
    </row>
    <row r="27" ht="15.75" customHeight="1">
      <c r="A27" s="175" t="s">
        <v>144</v>
      </c>
      <c r="B27" s="176" t="s">
        <v>144</v>
      </c>
      <c r="C27" s="158">
        <v>600.0</v>
      </c>
      <c r="D27" s="159">
        <f t="shared" ref="D27:D30" si="4">$C27/D$3</f>
        <v>24</v>
      </c>
      <c r="E27" s="160">
        <v>25.0</v>
      </c>
      <c r="F27" s="159">
        <f t="shared" ref="F27:F30" si="5">$C27/F$3</f>
        <v>34.28571429</v>
      </c>
      <c r="G27" s="160">
        <v>35.0</v>
      </c>
      <c r="H27" s="159">
        <f t="shared" ref="H27:H30" si="6">$C27/H$3</f>
        <v>40</v>
      </c>
      <c r="I27" s="161">
        <v>40.0</v>
      </c>
    </row>
    <row r="28" ht="15.75" customHeight="1">
      <c r="A28" s="177"/>
      <c r="B28" s="178"/>
      <c r="C28" s="164">
        <v>400.0</v>
      </c>
      <c r="D28" s="165">
        <f t="shared" si="4"/>
        <v>16</v>
      </c>
      <c r="E28" s="166">
        <v>15.0</v>
      </c>
      <c r="F28" s="165">
        <f t="shared" si="5"/>
        <v>22.85714286</v>
      </c>
      <c r="G28" s="166">
        <v>20.0</v>
      </c>
      <c r="H28" s="165">
        <f t="shared" si="6"/>
        <v>26.66666667</v>
      </c>
      <c r="I28" s="167">
        <v>25.0</v>
      </c>
    </row>
    <row r="29" ht="15.75" customHeight="1">
      <c r="A29" s="177"/>
      <c r="B29" s="178"/>
      <c r="C29" s="168">
        <v>300.0</v>
      </c>
      <c r="D29" s="165">
        <f t="shared" si="4"/>
        <v>12</v>
      </c>
      <c r="E29" s="166">
        <v>10.0</v>
      </c>
      <c r="F29" s="165">
        <f t="shared" si="5"/>
        <v>17.14285714</v>
      </c>
      <c r="G29" s="166">
        <v>15.0</v>
      </c>
      <c r="H29" s="165">
        <f t="shared" si="6"/>
        <v>20</v>
      </c>
      <c r="I29" s="167">
        <v>20.0</v>
      </c>
    </row>
    <row r="30" ht="15.75" customHeight="1">
      <c r="A30" s="177"/>
      <c r="B30" s="179"/>
      <c r="C30" s="170">
        <v>200.0</v>
      </c>
      <c r="D30" s="171">
        <f t="shared" si="4"/>
        <v>8</v>
      </c>
      <c r="E30" s="172">
        <v>5.0</v>
      </c>
      <c r="F30" s="171">
        <f t="shared" si="5"/>
        <v>11.42857143</v>
      </c>
      <c r="G30" s="172">
        <v>10.0</v>
      </c>
      <c r="H30" s="171">
        <f t="shared" si="6"/>
        <v>13.33333333</v>
      </c>
      <c r="I30" s="173">
        <v>10.0</v>
      </c>
    </row>
    <row r="31" ht="15.75" customHeight="1">
      <c r="A31" s="177"/>
      <c r="B31" s="176" t="s">
        <v>143</v>
      </c>
      <c r="C31" s="158">
        <f t="shared" ref="C31:I31" si="7">C9</f>
        <v>700</v>
      </c>
      <c r="D31" s="159">
        <f t="shared" si="7"/>
        <v>28</v>
      </c>
      <c r="E31" s="160">
        <f t="shared" si="7"/>
        <v>30</v>
      </c>
      <c r="F31" s="159">
        <f t="shared" si="7"/>
        <v>40</v>
      </c>
      <c r="G31" s="160">
        <f t="shared" si="7"/>
        <v>40</v>
      </c>
      <c r="H31" s="159">
        <f t="shared" si="7"/>
        <v>46.66666667</v>
      </c>
      <c r="I31" s="161">
        <f t="shared" si="7"/>
        <v>50</v>
      </c>
    </row>
    <row r="32" ht="15.75" customHeight="1">
      <c r="A32" s="177"/>
      <c r="B32" s="178"/>
      <c r="C32" s="164">
        <f t="shared" ref="C32:I32" si="8">C10</f>
        <v>500</v>
      </c>
      <c r="D32" s="165">
        <f t="shared" si="8"/>
        <v>20</v>
      </c>
      <c r="E32" s="166">
        <f t="shared" si="8"/>
        <v>18</v>
      </c>
      <c r="F32" s="165">
        <f t="shared" si="8"/>
        <v>28.57142857</v>
      </c>
      <c r="G32" s="166">
        <f t="shared" si="8"/>
        <v>25</v>
      </c>
      <c r="H32" s="165">
        <f t="shared" si="8"/>
        <v>33.33333333</v>
      </c>
      <c r="I32" s="167">
        <f t="shared" si="8"/>
        <v>30</v>
      </c>
    </row>
    <row r="33" ht="15.75" customHeight="1">
      <c r="A33" s="177"/>
      <c r="B33" s="178"/>
      <c r="C33" s="168">
        <f t="shared" ref="C33:I33" si="9">C11</f>
        <v>400</v>
      </c>
      <c r="D33" s="165">
        <f t="shared" si="9"/>
        <v>16</v>
      </c>
      <c r="E33" s="166">
        <f t="shared" si="9"/>
        <v>15</v>
      </c>
      <c r="F33" s="165">
        <f t="shared" si="9"/>
        <v>22.85714286</v>
      </c>
      <c r="G33" s="166">
        <f t="shared" si="9"/>
        <v>20</v>
      </c>
      <c r="H33" s="165">
        <f t="shared" si="9"/>
        <v>26.66666667</v>
      </c>
      <c r="I33" s="167">
        <f t="shared" si="9"/>
        <v>25</v>
      </c>
    </row>
    <row r="34" ht="15.75" customHeight="1">
      <c r="A34" s="177"/>
      <c r="B34" s="179"/>
      <c r="C34" s="170">
        <f t="shared" ref="C34:I34" si="10">C12</f>
        <v>300</v>
      </c>
      <c r="D34" s="171">
        <f t="shared" si="10"/>
        <v>12</v>
      </c>
      <c r="E34" s="172">
        <f t="shared" si="10"/>
        <v>10</v>
      </c>
      <c r="F34" s="171">
        <f t="shared" si="10"/>
        <v>17.14285714</v>
      </c>
      <c r="G34" s="172">
        <f t="shared" si="10"/>
        <v>15</v>
      </c>
      <c r="H34" s="171">
        <f t="shared" si="10"/>
        <v>20</v>
      </c>
      <c r="I34" s="173">
        <f t="shared" si="10"/>
        <v>20</v>
      </c>
    </row>
    <row r="35" ht="15.75" customHeight="1">
      <c r="A35" s="177"/>
      <c r="B35" s="176" t="s">
        <v>145</v>
      </c>
      <c r="C35" s="158">
        <v>1400.0</v>
      </c>
      <c r="D35" s="159">
        <f t="shared" ref="D35:D46" si="11">$C35/D$3</f>
        <v>56</v>
      </c>
      <c r="E35" s="160">
        <v>55.0</v>
      </c>
      <c r="F35" s="159">
        <f t="shared" ref="F35:F46" si="12">$C35/F$3</f>
        <v>80</v>
      </c>
      <c r="G35" s="160">
        <v>80.0</v>
      </c>
      <c r="H35" s="159">
        <f t="shared" ref="H35:H46" si="13">$C35/H$3</f>
        <v>93.33333333</v>
      </c>
      <c r="I35" s="161">
        <v>90.0</v>
      </c>
    </row>
    <row r="36" ht="15.75" customHeight="1">
      <c r="A36" s="177"/>
      <c r="B36" s="178"/>
      <c r="C36" s="164">
        <v>1000.0</v>
      </c>
      <c r="D36" s="165">
        <f t="shared" si="11"/>
        <v>40</v>
      </c>
      <c r="E36" s="166">
        <v>40.0</v>
      </c>
      <c r="F36" s="165">
        <f t="shared" si="12"/>
        <v>57.14285714</v>
      </c>
      <c r="G36" s="166">
        <v>55.0</v>
      </c>
      <c r="H36" s="165">
        <f t="shared" si="13"/>
        <v>66.66666667</v>
      </c>
      <c r="I36" s="167">
        <v>65.0</v>
      </c>
    </row>
    <row r="37" ht="15.75" customHeight="1">
      <c r="A37" s="177"/>
      <c r="B37" s="178"/>
      <c r="C37" s="168">
        <v>750.0</v>
      </c>
      <c r="D37" s="165">
        <f t="shared" si="11"/>
        <v>30</v>
      </c>
      <c r="E37" s="166">
        <v>30.0</v>
      </c>
      <c r="F37" s="165">
        <f t="shared" si="12"/>
        <v>42.85714286</v>
      </c>
      <c r="G37" s="166">
        <v>40.0</v>
      </c>
      <c r="H37" s="165">
        <f t="shared" si="13"/>
        <v>50</v>
      </c>
      <c r="I37" s="167">
        <v>50.0</v>
      </c>
    </row>
    <row r="38" ht="15.75" customHeight="1">
      <c r="A38" s="177"/>
      <c r="B38" s="179"/>
      <c r="C38" s="170">
        <v>450.0</v>
      </c>
      <c r="D38" s="171">
        <f t="shared" si="11"/>
        <v>18</v>
      </c>
      <c r="E38" s="172">
        <v>15.0</v>
      </c>
      <c r="F38" s="171">
        <f t="shared" si="12"/>
        <v>25.71428571</v>
      </c>
      <c r="G38" s="172">
        <v>25.0</v>
      </c>
      <c r="H38" s="171">
        <f t="shared" si="13"/>
        <v>30</v>
      </c>
      <c r="I38" s="173">
        <v>30.0</v>
      </c>
    </row>
    <row r="39" ht="15.75" customHeight="1">
      <c r="A39" s="177"/>
      <c r="B39" s="176" t="s">
        <v>146</v>
      </c>
      <c r="C39" s="158">
        <v>1800.0</v>
      </c>
      <c r="D39" s="159">
        <f t="shared" si="11"/>
        <v>72</v>
      </c>
      <c r="E39" s="160">
        <v>70.0</v>
      </c>
      <c r="F39" s="159">
        <f t="shared" si="12"/>
        <v>102.8571429</v>
      </c>
      <c r="G39" s="160">
        <v>100.0</v>
      </c>
      <c r="H39" s="159">
        <f t="shared" si="13"/>
        <v>120</v>
      </c>
      <c r="I39" s="161">
        <v>120.0</v>
      </c>
    </row>
    <row r="40" ht="15.75" customHeight="1">
      <c r="A40" s="177"/>
      <c r="B40" s="178"/>
      <c r="C40" s="164">
        <v>1300.0</v>
      </c>
      <c r="D40" s="165">
        <f t="shared" si="11"/>
        <v>52</v>
      </c>
      <c r="E40" s="166">
        <v>50.0</v>
      </c>
      <c r="F40" s="165">
        <f t="shared" si="12"/>
        <v>74.28571429</v>
      </c>
      <c r="G40" s="166">
        <v>70.0</v>
      </c>
      <c r="H40" s="165">
        <f t="shared" si="13"/>
        <v>86.66666667</v>
      </c>
      <c r="I40" s="167">
        <v>85.0</v>
      </c>
    </row>
    <row r="41" ht="15.75" customHeight="1">
      <c r="A41" s="177"/>
      <c r="B41" s="178"/>
      <c r="C41" s="168">
        <v>1050.0</v>
      </c>
      <c r="D41" s="165">
        <f t="shared" si="11"/>
        <v>42</v>
      </c>
      <c r="E41" s="166">
        <v>40.0</v>
      </c>
      <c r="F41" s="165">
        <f t="shared" si="12"/>
        <v>60</v>
      </c>
      <c r="G41" s="166">
        <v>60.0</v>
      </c>
      <c r="H41" s="165">
        <f t="shared" si="13"/>
        <v>70</v>
      </c>
      <c r="I41" s="167">
        <v>70.0</v>
      </c>
    </row>
    <row r="42" ht="15.75" customHeight="1">
      <c r="A42" s="177"/>
      <c r="B42" s="179"/>
      <c r="C42" s="170">
        <v>600.0</v>
      </c>
      <c r="D42" s="171">
        <f t="shared" si="11"/>
        <v>24</v>
      </c>
      <c r="E42" s="172">
        <v>20.0</v>
      </c>
      <c r="F42" s="171">
        <f t="shared" si="12"/>
        <v>34.28571429</v>
      </c>
      <c r="G42" s="172">
        <v>30.0</v>
      </c>
      <c r="H42" s="171">
        <f t="shared" si="13"/>
        <v>40</v>
      </c>
      <c r="I42" s="173">
        <v>40.0</v>
      </c>
    </row>
    <row r="43" ht="15.75" customHeight="1">
      <c r="A43" s="177"/>
      <c r="B43" s="176" t="s">
        <v>147</v>
      </c>
      <c r="C43" s="158">
        <v>800.0</v>
      </c>
      <c r="D43" s="159">
        <f t="shared" si="11"/>
        <v>32</v>
      </c>
      <c r="E43" s="160">
        <v>30.0</v>
      </c>
      <c r="F43" s="159">
        <f t="shared" si="12"/>
        <v>45.71428571</v>
      </c>
      <c r="G43" s="160">
        <v>45.0</v>
      </c>
      <c r="H43" s="159">
        <f t="shared" si="13"/>
        <v>53.33333333</v>
      </c>
      <c r="I43" s="161">
        <v>50.0</v>
      </c>
    </row>
    <row r="44" ht="15.75" customHeight="1">
      <c r="A44" s="177"/>
      <c r="B44" s="178"/>
      <c r="C44" s="164">
        <v>550.0</v>
      </c>
      <c r="D44" s="165">
        <f t="shared" si="11"/>
        <v>22</v>
      </c>
      <c r="E44" s="166">
        <v>20.0</v>
      </c>
      <c r="F44" s="165">
        <f t="shared" si="12"/>
        <v>31.42857143</v>
      </c>
      <c r="G44" s="166">
        <v>30.0</v>
      </c>
      <c r="H44" s="165">
        <f t="shared" si="13"/>
        <v>36.66666667</v>
      </c>
      <c r="I44" s="167">
        <v>35.0</v>
      </c>
    </row>
    <row r="45" ht="15.75" customHeight="1">
      <c r="A45" s="177"/>
      <c r="B45" s="178"/>
      <c r="C45" s="168">
        <v>350.0</v>
      </c>
      <c r="D45" s="165">
        <f t="shared" si="11"/>
        <v>14</v>
      </c>
      <c r="E45" s="166">
        <v>12.0</v>
      </c>
      <c r="F45" s="165">
        <f t="shared" si="12"/>
        <v>20</v>
      </c>
      <c r="G45" s="166">
        <v>20.0</v>
      </c>
      <c r="H45" s="165">
        <f t="shared" si="13"/>
        <v>23.33333333</v>
      </c>
      <c r="I45" s="167">
        <v>20.0</v>
      </c>
    </row>
    <row r="46" ht="15.75" customHeight="1">
      <c r="A46" s="180"/>
      <c r="B46" s="179"/>
      <c r="C46" s="170">
        <v>250.0</v>
      </c>
      <c r="D46" s="171">
        <f t="shared" si="11"/>
        <v>10</v>
      </c>
      <c r="E46" s="172">
        <v>10.0</v>
      </c>
      <c r="F46" s="171">
        <f t="shared" si="12"/>
        <v>14.28571429</v>
      </c>
      <c r="G46" s="172">
        <v>10.0</v>
      </c>
      <c r="H46" s="171">
        <f t="shared" si="13"/>
        <v>16.66666667</v>
      </c>
      <c r="I46" s="173">
        <v>15.0</v>
      </c>
    </row>
    <row r="47" ht="15.75" customHeight="1"/>
    <row r="48" ht="15.75" customHeight="1"/>
    <row r="49" ht="15.75" customHeight="1">
      <c r="A49" s="147" t="s">
        <v>136</v>
      </c>
      <c r="B49" s="148" t="s">
        <v>137</v>
      </c>
      <c r="C49" s="149" t="s">
        <v>138</v>
      </c>
      <c r="D49" s="150" t="s">
        <v>139</v>
      </c>
      <c r="E49" s="151" t="s">
        <v>140</v>
      </c>
      <c r="F49" s="152" t="s">
        <v>141</v>
      </c>
      <c r="G49" s="153" t="s">
        <v>140</v>
      </c>
      <c r="H49" s="154" t="s">
        <v>142</v>
      </c>
      <c r="I49" s="155" t="s">
        <v>140</v>
      </c>
    </row>
    <row r="50" ht="15.75" customHeight="1">
      <c r="A50" s="175" t="s">
        <v>145</v>
      </c>
      <c r="B50" s="176" t="s">
        <v>145</v>
      </c>
      <c r="C50" s="158">
        <v>800.0</v>
      </c>
      <c r="D50" s="159">
        <f t="shared" ref="D50:D69" si="14">$C50/D$3</f>
        <v>32</v>
      </c>
      <c r="E50" s="160">
        <v>30.0</v>
      </c>
      <c r="F50" s="159">
        <f t="shared" ref="F50:F69" si="15">$C50/F$3</f>
        <v>45.71428571</v>
      </c>
      <c r="G50" s="160">
        <v>45.0</v>
      </c>
      <c r="H50" s="159">
        <f t="shared" ref="H50:H69" si="16">$C50/H$3</f>
        <v>53.33333333</v>
      </c>
      <c r="I50" s="161">
        <v>50.0</v>
      </c>
    </row>
    <row r="51" ht="15.75" customHeight="1">
      <c r="A51" s="177"/>
      <c r="B51" s="178"/>
      <c r="C51" s="164">
        <v>600.0</v>
      </c>
      <c r="D51" s="165">
        <f t="shared" si="14"/>
        <v>24</v>
      </c>
      <c r="E51" s="166">
        <v>22.0</v>
      </c>
      <c r="F51" s="165">
        <f t="shared" si="15"/>
        <v>34.28571429</v>
      </c>
      <c r="G51" s="166">
        <v>32.0</v>
      </c>
      <c r="H51" s="165">
        <f t="shared" si="16"/>
        <v>40</v>
      </c>
      <c r="I51" s="167">
        <v>40.0</v>
      </c>
    </row>
    <row r="52" ht="15.75" customHeight="1">
      <c r="A52" s="177"/>
      <c r="B52" s="178"/>
      <c r="C52" s="168">
        <v>500.0</v>
      </c>
      <c r="D52" s="165">
        <f t="shared" si="14"/>
        <v>20</v>
      </c>
      <c r="E52" s="166">
        <v>18.0</v>
      </c>
      <c r="F52" s="165">
        <f t="shared" si="15"/>
        <v>28.57142857</v>
      </c>
      <c r="G52" s="166">
        <v>25.0</v>
      </c>
      <c r="H52" s="165">
        <f t="shared" si="16"/>
        <v>33.33333333</v>
      </c>
      <c r="I52" s="167">
        <v>30.0</v>
      </c>
    </row>
    <row r="53" ht="15.75" customHeight="1">
      <c r="A53" s="177"/>
      <c r="B53" s="179"/>
      <c r="C53" s="170">
        <v>400.0</v>
      </c>
      <c r="D53" s="171">
        <f t="shared" si="14"/>
        <v>16</v>
      </c>
      <c r="E53" s="172">
        <v>15.0</v>
      </c>
      <c r="F53" s="171">
        <f t="shared" si="15"/>
        <v>22.85714286</v>
      </c>
      <c r="G53" s="172">
        <v>20.0</v>
      </c>
      <c r="H53" s="171">
        <f t="shared" si="16"/>
        <v>26.66666667</v>
      </c>
      <c r="I53" s="173">
        <v>25.0</v>
      </c>
    </row>
    <row r="54" ht="15.75" customHeight="1">
      <c r="A54" s="177"/>
      <c r="B54" s="176" t="s">
        <v>143</v>
      </c>
      <c r="C54" s="158">
        <v>1600.0</v>
      </c>
      <c r="D54" s="159">
        <f t="shared" si="14"/>
        <v>64</v>
      </c>
      <c r="E54" s="160">
        <v>65.0</v>
      </c>
      <c r="F54" s="159">
        <f t="shared" si="15"/>
        <v>91.42857143</v>
      </c>
      <c r="G54" s="160">
        <v>90.0</v>
      </c>
      <c r="H54" s="159">
        <f t="shared" si="16"/>
        <v>106.6666667</v>
      </c>
      <c r="I54" s="161">
        <v>110.0</v>
      </c>
    </row>
    <row r="55" ht="15.75" customHeight="1">
      <c r="A55" s="177"/>
      <c r="B55" s="178"/>
      <c r="C55" s="164">
        <v>1400.0</v>
      </c>
      <c r="D55" s="165">
        <f t="shared" si="14"/>
        <v>56</v>
      </c>
      <c r="E55" s="166">
        <v>55.0</v>
      </c>
      <c r="F55" s="165">
        <f t="shared" si="15"/>
        <v>80</v>
      </c>
      <c r="G55" s="166">
        <v>80.0</v>
      </c>
      <c r="H55" s="165">
        <f t="shared" si="16"/>
        <v>93.33333333</v>
      </c>
      <c r="I55" s="167">
        <v>90.0</v>
      </c>
    </row>
    <row r="56" ht="15.75" customHeight="1">
      <c r="A56" s="177"/>
      <c r="B56" s="178"/>
      <c r="C56" s="168">
        <v>900.0</v>
      </c>
      <c r="D56" s="165">
        <f t="shared" si="14"/>
        <v>36</v>
      </c>
      <c r="E56" s="166">
        <v>35.0</v>
      </c>
      <c r="F56" s="165">
        <f t="shared" si="15"/>
        <v>51.42857143</v>
      </c>
      <c r="G56" s="166">
        <v>50.0</v>
      </c>
      <c r="H56" s="165">
        <f t="shared" si="16"/>
        <v>60</v>
      </c>
      <c r="I56" s="167">
        <v>60.0</v>
      </c>
    </row>
    <row r="57" ht="15.75" customHeight="1">
      <c r="A57" s="177"/>
      <c r="B57" s="179"/>
      <c r="C57" s="170">
        <v>600.0</v>
      </c>
      <c r="D57" s="171">
        <f t="shared" si="14"/>
        <v>24</v>
      </c>
      <c r="E57" s="172">
        <v>20.0</v>
      </c>
      <c r="F57" s="171">
        <f t="shared" si="15"/>
        <v>34.28571429</v>
      </c>
      <c r="G57" s="172">
        <v>30.0</v>
      </c>
      <c r="H57" s="171">
        <f t="shared" si="16"/>
        <v>40</v>
      </c>
      <c r="I57" s="173">
        <v>40.0</v>
      </c>
    </row>
    <row r="58" ht="15.75" customHeight="1">
      <c r="A58" s="177"/>
      <c r="B58" s="176" t="s">
        <v>144</v>
      </c>
      <c r="C58" s="158">
        <v>1400.0</v>
      </c>
      <c r="D58" s="159">
        <f t="shared" si="14"/>
        <v>56</v>
      </c>
      <c r="E58" s="160">
        <v>55.0</v>
      </c>
      <c r="F58" s="159">
        <f t="shared" si="15"/>
        <v>80</v>
      </c>
      <c r="G58" s="160">
        <v>80.0</v>
      </c>
      <c r="H58" s="159">
        <f t="shared" si="16"/>
        <v>93.33333333</v>
      </c>
      <c r="I58" s="161">
        <v>90.0</v>
      </c>
    </row>
    <row r="59" ht="15.75" customHeight="1">
      <c r="A59" s="177"/>
      <c r="B59" s="178"/>
      <c r="C59" s="164">
        <v>1000.0</v>
      </c>
      <c r="D59" s="165">
        <f t="shared" si="14"/>
        <v>40</v>
      </c>
      <c r="E59" s="166">
        <v>40.0</v>
      </c>
      <c r="F59" s="165">
        <f t="shared" si="15"/>
        <v>57.14285714</v>
      </c>
      <c r="G59" s="166">
        <v>55.0</v>
      </c>
      <c r="H59" s="165">
        <f t="shared" si="16"/>
        <v>66.66666667</v>
      </c>
      <c r="I59" s="167">
        <v>65.0</v>
      </c>
    </row>
    <row r="60" ht="15.75" customHeight="1">
      <c r="A60" s="177"/>
      <c r="B60" s="178"/>
      <c r="C60" s="168">
        <v>750.0</v>
      </c>
      <c r="D60" s="165">
        <f t="shared" si="14"/>
        <v>30</v>
      </c>
      <c r="E60" s="166">
        <v>30.0</v>
      </c>
      <c r="F60" s="165">
        <f t="shared" si="15"/>
        <v>42.85714286</v>
      </c>
      <c r="G60" s="166">
        <v>40.0</v>
      </c>
      <c r="H60" s="165">
        <f t="shared" si="16"/>
        <v>50</v>
      </c>
      <c r="I60" s="167">
        <v>50.0</v>
      </c>
    </row>
    <row r="61" ht="15.75" customHeight="1">
      <c r="A61" s="177"/>
      <c r="B61" s="179"/>
      <c r="C61" s="170">
        <v>450.0</v>
      </c>
      <c r="D61" s="171">
        <f t="shared" si="14"/>
        <v>18</v>
      </c>
      <c r="E61" s="172">
        <v>15.0</v>
      </c>
      <c r="F61" s="171">
        <f t="shared" si="15"/>
        <v>25.71428571</v>
      </c>
      <c r="G61" s="172">
        <v>25.0</v>
      </c>
      <c r="H61" s="171">
        <f t="shared" si="16"/>
        <v>30</v>
      </c>
      <c r="I61" s="173">
        <v>30.0</v>
      </c>
    </row>
    <row r="62" ht="15.75" customHeight="1">
      <c r="A62" s="177"/>
      <c r="B62" s="176" t="s">
        <v>146</v>
      </c>
      <c r="C62" s="158">
        <v>1500.0</v>
      </c>
      <c r="D62" s="159">
        <f t="shared" si="14"/>
        <v>60</v>
      </c>
      <c r="E62" s="160">
        <v>60.0</v>
      </c>
      <c r="F62" s="159">
        <f t="shared" si="15"/>
        <v>85.71428571</v>
      </c>
      <c r="G62" s="160">
        <v>85.0</v>
      </c>
      <c r="H62" s="159">
        <f t="shared" si="16"/>
        <v>100</v>
      </c>
      <c r="I62" s="161">
        <v>100.0</v>
      </c>
    </row>
    <row r="63" ht="15.75" customHeight="1">
      <c r="A63" s="177"/>
      <c r="B63" s="178"/>
      <c r="C63" s="164">
        <v>1200.0</v>
      </c>
      <c r="D63" s="165">
        <f t="shared" si="14"/>
        <v>48</v>
      </c>
      <c r="E63" s="166">
        <v>45.0</v>
      </c>
      <c r="F63" s="165">
        <f t="shared" si="15"/>
        <v>68.57142857</v>
      </c>
      <c r="G63" s="166">
        <v>65.0</v>
      </c>
      <c r="H63" s="165">
        <f t="shared" si="16"/>
        <v>80</v>
      </c>
      <c r="I63" s="167">
        <v>80.0</v>
      </c>
    </row>
    <row r="64" ht="15.75" customHeight="1">
      <c r="A64" s="177"/>
      <c r="B64" s="178"/>
      <c r="C64" s="168">
        <v>900.0</v>
      </c>
      <c r="D64" s="165">
        <f t="shared" si="14"/>
        <v>36</v>
      </c>
      <c r="E64" s="166">
        <v>35.0</v>
      </c>
      <c r="F64" s="165">
        <f t="shared" si="15"/>
        <v>51.42857143</v>
      </c>
      <c r="G64" s="166">
        <v>50.0</v>
      </c>
      <c r="H64" s="165">
        <f t="shared" si="16"/>
        <v>60</v>
      </c>
      <c r="I64" s="167">
        <v>60.0</v>
      </c>
    </row>
    <row r="65" ht="15.75" customHeight="1">
      <c r="A65" s="177"/>
      <c r="B65" s="179"/>
      <c r="C65" s="170">
        <v>650.0</v>
      </c>
      <c r="D65" s="171">
        <f t="shared" si="14"/>
        <v>26</v>
      </c>
      <c r="E65" s="172">
        <v>25.0</v>
      </c>
      <c r="F65" s="171">
        <f t="shared" si="15"/>
        <v>37.14285714</v>
      </c>
      <c r="G65" s="172">
        <v>35.0</v>
      </c>
      <c r="H65" s="171">
        <f t="shared" si="16"/>
        <v>43.33333333</v>
      </c>
      <c r="I65" s="173">
        <v>40.0</v>
      </c>
    </row>
    <row r="66" ht="15.75" customHeight="1">
      <c r="A66" s="177"/>
      <c r="B66" s="176" t="s">
        <v>147</v>
      </c>
      <c r="C66" s="158">
        <v>1300.0</v>
      </c>
      <c r="D66" s="159">
        <f t="shared" si="14"/>
        <v>52</v>
      </c>
      <c r="E66" s="160">
        <v>50.0</v>
      </c>
      <c r="F66" s="159">
        <f t="shared" si="15"/>
        <v>74.28571429</v>
      </c>
      <c r="G66" s="160">
        <v>75.0</v>
      </c>
      <c r="H66" s="159">
        <f t="shared" si="16"/>
        <v>86.66666667</v>
      </c>
      <c r="I66" s="161">
        <v>90.0</v>
      </c>
    </row>
    <row r="67" ht="15.75" customHeight="1">
      <c r="A67" s="177"/>
      <c r="B67" s="178"/>
      <c r="C67" s="164">
        <v>1100.0</v>
      </c>
      <c r="D67" s="165">
        <f t="shared" si="14"/>
        <v>44</v>
      </c>
      <c r="E67" s="166">
        <v>40.0</v>
      </c>
      <c r="F67" s="165">
        <f t="shared" si="15"/>
        <v>62.85714286</v>
      </c>
      <c r="G67" s="166">
        <v>60.0</v>
      </c>
      <c r="H67" s="165">
        <f t="shared" si="16"/>
        <v>73.33333333</v>
      </c>
      <c r="I67" s="167">
        <v>70.0</v>
      </c>
    </row>
    <row r="68" ht="15.75" customHeight="1">
      <c r="A68" s="177"/>
      <c r="B68" s="178"/>
      <c r="C68" s="168">
        <v>900.0</v>
      </c>
      <c r="D68" s="165">
        <f t="shared" si="14"/>
        <v>36</v>
      </c>
      <c r="E68" s="166">
        <v>35.0</v>
      </c>
      <c r="F68" s="165">
        <f t="shared" si="15"/>
        <v>51.42857143</v>
      </c>
      <c r="G68" s="166">
        <v>50.0</v>
      </c>
      <c r="H68" s="165">
        <f t="shared" si="16"/>
        <v>60</v>
      </c>
      <c r="I68" s="167">
        <v>60.0</v>
      </c>
    </row>
    <row r="69" ht="15.75" customHeight="1">
      <c r="A69" s="180"/>
      <c r="B69" s="179"/>
      <c r="C69" s="170">
        <v>550.0</v>
      </c>
      <c r="D69" s="171">
        <f t="shared" si="14"/>
        <v>22</v>
      </c>
      <c r="E69" s="172">
        <v>20.0</v>
      </c>
      <c r="F69" s="171">
        <f t="shared" si="15"/>
        <v>31.42857143</v>
      </c>
      <c r="G69" s="172">
        <v>30.0</v>
      </c>
      <c r="H69" s="171">
        <f t="shared" si="16"/>
        <v>36.66666667</v>
      </c>
      <c r="I69" s="173">
        <v>35.0</v>
      </c>
    </row>
    <row r="70" ht="15.75" customHeight="1"/>
    <row r="71" ht="15.75" customHeight="1">
      <c r="A71" s="147" t="s">
        <v>136</v>
      </c>
      <c r="B71" s="148" t="s">
        <v>137</v>
      </c>
      <c r="C71" s="149" t="s">
        <v>138</v>
      </c>
      <c r="D71" s="150" t="s">
        <v>139</v>
      </c>
      <c r="E71" s="151" t="s">
        <v>140</v>
      </c>
      <c r="F71" s="152" t="s">
        <v>141</v>
      </c>
      <c r="G71" s="153" t="s">
        <v>140</v>
      </c>
      <c r="H71" s="154" t="s">
        <v>142</v>
      </c>
      <c r="I71" s="155" t="s">
        <v>140</v>
      </c>
    </row>
    <row r="72" ht="15.75" customHeight="1">
      <c r="A72" s="175" t="s">
        <v>146</v>
      </c>
      <c r="B72" s="176" t="s">
        <v>146</v>
      </c>
      <c r="C72" s="158">
        <v>1300.0</v>
      </c>
      <c r="D72" s="159">
        <f t="shared" ref="D72:D75" si="17">$C72/D$3</f>
        <v>52</v>
      </c>
      <c r="E72" s="160">
        <v>50.0</v>
      </c>
      <c r="F72" s="159">
        <f t="shared" ref="F72:F75" si="18">$C72/F$3</f>
        <v>74.28571429</v>
      </c>
      <c r="G72" s="160">
        <v>75.0</v>
      </c>
      <c r="H72" s="159">
        <f t="shared" ref="H72:H75" si="19">$C72/H$3</f>
        <v>86.66666667</v>
      </c>
      <c r="I72" s="161">
        <v>85.0</v>
      </c>
    </row>
    <row r="73" ht="15.75" customHeight="1">
      <c r="A73" s="177"/>
      <c r="B73" s="178"/>
      <c r="C73" s="164">
        <v>1000.0</v>
      </c>
      <c r="D73" s="165">
        <f t="shared" si="17"/>
        <v>40</v>
      </c>
      <c r="E73" s="166">
        <v>40.0</v>
      </c>
      <c r="F73" s="165">
        <f t="shared" si="18"/>
        <v>57.14285714</v>
      </c>
      <c r="G73" s="166">
        <v>55.0</v>
      </c>
      <c r="H73" s="165">
        <f t="shared" si="19"/>
        <v>66.66666667</v>
      </c>
      <c r="I73" s="167">
        <v>65.0</v>
      </c>
    </row>
    <row r="74" ht="15.75" customHeight="1">
      <c r="A74" s="177"/>
      <c r="B74" s="178"/>
      <c r="C74" s="168">
        <v>800.0</v>
      </c>
      <c r="D74" s="165">
        <f t="shared" si="17"/>
        <v>32</v>
      </c>
      <c r="E74" s="166">
        <v>30.0</v>
      </c>
      <c r="F74" s="165">
        <f t="shared" si="18"/>
        <v>45.71428571</v>
      </c>
      <c r="G74" s="166">
        <v>45.0</v>
      </c>
      <c r="H74" s="165">
        <f t="shared" si="19"/>
        <v>53.33333333</v>
      </c>
      <c r="I74" s="167">
        <v>50.0</v>
      </c>
    </row>
    <row r="75" ht="15.75" customHeight="1">
      <c r="A75" s="177"/>
      <c r="B75" s="179"/>
      <c r="C75" s="170">
        <v>650.0</v>
      </c>
      <c r="D75" s="171">
        <f t="shared" si="17"/>
        <v>26</v>
      </c>
      <c r="E75" s="172">
        <v>25.0</v>
      </c>
      <c r="F75" s="171">
        <f t="shared" si="18"/>
        <v>37.14285714</v>
      </c>
      <c r="G75" s="172">
        <v>35.0</v>
      </c>
      <c r="H75" s="171">
        <f t="shared" si="19"/>
        <v>43.33333333</v>
      </c>
      <c r="I75" s="173">
        <v>40.0</v>
      </c>
    </row>
    <row r="76" ht="15.75" customHeight="1">
      <c r="A76" s="177"/>
      <c r="B76" s="176" t="s">
        <v>143</v>
      </c>
      <c r="C76" s="158">
        <f t="shared" ref="C76:I76" si="20">C17</f>
        <v>1800</v>
      </c>
      <c r="D76" s="159">
        <f t="shared" si="20"/>
        <v>72</v>
      </c>
      <c r="E76" s="160">
        <f t="shared" si="20"/>
        <v>70</v>
      </c>
      <c r="F76" s="159">
        <f t="shared" si="20"/>
        <v>102.8571429</v>
      </c>
      <c r="G76" s="160">
        <f t="shared" si="20"/>
        <v>105</v>
      </c>
      <c r="H76" s="159">
        <f t="shared" si="20"/>
        <v>120</v>
      </c>
      <c r="I76" s="161">
        <f t="shared" si="20"/>
        <v>120</v>
      </c>
    </row>
    <row r="77" ht="15.75" customHeight="1">
      <c r="A77" s="177"/>
      <c r="B77" s="178"/>
      <c r="C77" s="164">
        <f t="shared" ref="C77:I77" si="21">C18</f>
        <v>1500</v>
      </c>
      <c r="D77" s="165">
        <f t="shared" si="21"/>
        <v>60</v>
      </c>
      <c r="E77" s="166">
        <f t="shared" si="21"/>
        <v>60</v>
      </c>
      <c r="F77" s="165">
        <f t="shared" si="21"/>
        <v>85.71428571</v>
      </c>
      <c r="G77" s="166">
        <f t="shared" si="21"/>
        <v>85</v>
      </c>
      <c r="H77" s="165">
        <f t="shared" si="21"/>
        <v>100</v>
      </c>
      <c r="I77" s="167">
        <f t="shared" si="21"/>
        <v>100</v>
      </c>
    </row>
    <row r="78" ht="15.75" customHeight="1">
      <c r="A78" s="177"/>
      <c r="B78" s="178"/>
      <c r="C78" s="168">
        <f t="shared" ref="C78:I78" si="22">C19</f>
        <v>1200</v>
      </c>
      <c r="D78" s="165">
        <f t="shared" si="22"/>
        <v>48</v>
      </c>
      <c r="E78" s="166">
        <f t="shared" si="22"/>
        <v>45</v>
      </c>
      <c r="F78" s="165">
        <f t="shared" si="22"/>
        <v>68.57142857</v>
      </c>
      <c r="G78" s="166">
        <f t="shared" si="22"/>
        <v>65</v>
      </c>
      <c r="H78" s="165">
        <f t="shared" si="22"/>
        <v>80</v>
      </c>
      <c r="I78" s="167">
        <f t="shared" si="22"/>
        <v>80</v>
      </c>
    </row>
    <row r="79" ht="15.75" customHeight="1">
      <c r="A79" s="177"/>
      <c r="B79" s="179"/>
      <c r="C79" s="170">
        <f t="shared" ref="C79:I79" si="23">C20</f>
        <v>900</v>
      </c>
      <c r="D79" s="171">
        <f t="shared" si="23"/>
        <v>36</v>
      </c>
      <c r="E79" s="172">
        <f t="shared" si="23"/>
        <v>35</v>
      </c>
      <c r="F79" s="171">
        <f t="shared" si="23"/>
        <v>51.42857143</v>
      </c>
      <c r="G79" s="172">
        <f t="shared" si="23"/>
        <v>50</v>
      </c>
      <c r="H79" s="171">
        <f t="shared" si="23"/>
        <v>60</v>
      </c>
      <c r="I79" s="173">
        <f t="shared" si="23"/>
        <v>60</v>
      </c>
    </row>
    <row r="80" ht="15.75" customHeight="1">
      <c r="A80" s="177"/>
      <c r="B80" s="176" t="s">
        <v>144</v>
      </c>
      <c r="C80" s="158">
        <f t="shared" ref="C80:I80" si="24">C39</f>
        <v>1800</v>
      </c>
      <c r="D80" s="159">
        <f t="shared" si="24"/>
        <v>72</v>
      </c>
      <c r="E80" s="160">
        <f t="shared" si="24"/>
        <v>70</v>
      </c>
      <c r="F80" s="159">
        <f t="shared" si="24"/>
        <v>102.8571429</v>
      </c>
      <c r="G80" s="160">
        <f t="shared" si="24"/>
        <v>100</v>
      </c>
      <c r="H80" s="159">
        <f t="shared" si="24"/>
        <v>120</v>
      </c>
      <c r="I80" s="161">
        <f t="shared" si="24"/>
        <v>120</v>
      </c>
    </row>
    <row r="81" ht="15.75" customHeight="1">
      <c r="A81" s="177"/>
      <c r="B81" s="178"/>
      <c r="C81" s="164">
        <f t="shared" ref="C81:I81" si="25">C40</f>
        <v>1300</v>
      </c>
      <c r="D81" s="165">
        <f t="shared" si="25"/>
        <v>52</v>
      </c>
      <c r="E81" s="166">
        <f t="shared" si="25"/>
        <v>50</v>
      </c>
      <c r="F81" s="165">
        <f t="shared" si="25"/>
        <v>74.28571429</v>
      </c>
      <c r="G81" s="166">
        <f t="shared" si="25"/>
        <v>70</v>
      </c>
      <c r="H81" s="165">
        <f t="shared" si="25"/>
        <v>86.66666667</v>
      </c>
      <c r="I81" s="167">
        <f t="shared" si="25"/>
        <v>85</v>
      </c>
    </row>
    <row r="82" ht="15.75" customHeight="1">
      <c r="A82" s="177"/>
      <c r="B82" s="178"/>
      <c r="C82" s="168">
        <f t="shared" ref="C82:I82" si="26">C41</f>
        <v>1050</v>
      </c>
      <c r="D82" s="165">
        <f t="shared" si="26"/>
        <v>42</v>
      </c>
      <c r="E82" s="166">
        <f t="shared" si="26"/>
        <v>40</v>
      </c>
      <c r="F82" s="165">
        <f t="shared" si="26"/>
        <v>60</v>
      </c>
      <c r="G82" s="166">
        <f t="shared" si="26"/>
        <v>60</v>
      </c>
      <c r="H82" s="165">
        <f t="shared" si="26"/>
        <v>70</v>
      </c>
      <c r="I82" s="167">
        <f t="shared" si="26"/>
        <v>70</v>
      </c>
    </row>
    <row r="83" ht="15.75" customHeight="1">
      <c r="A83" s="177"/>
      <c r="B83" s="179"/>
      <c r="C83" s="170">
        <f t="shared" ref="C83:I83" si="27">C42</f>
        <v>600</v>
      </c>
      <c r="D83" s="171">
        <f t="shared" si="27"/>
        <v>24</v>
      </c>
      <c r="E83" s="172">
        <f t="shared" si="27"/>
        <v>20</v>
      </c>
      <c r="F83" s="171">
        <f t="shared" si="27"/>
        <v>34.28571429</v>
      </c>
      <c r="G83" s="172">
        <f t="shared" si="27"/>
        <v>30</v>
      </c>
      <c r="H83" s="171">
        <f t="shared" si="27"/>
        <v>40</v>
      </c>
      <c r="I83" s="173">
        <f t="shared" si="27"/>
        <v>40</v>
      </c>
    </row>
    <row r="84" ht="15.75" customHeight="1">
      <c r="A84" s="177"/>
      <c r="B84" s="176" t="s">
        <v>145</v>
      </c>
      <c r="C84" s="158">
        <v>1500.0</v>
      </c>
      <c r="D84" s="159">
        <f t="shared" ref="D84:D91" si="28">$C84/D$3</f>
        <v>60</v>
      </c>
      <c r="E84" s="160">
        <v>60.0</v>
      </c>
      <c r="F84" s="159">
        <f t="shared" ref="F84:F91" si="29">$C84/F$3</f>
        <v>85.71428571</v>
      </c>
      <c r="G84" s="160">
        <v>85.0</v>
      </c>
      <c r="H84" s="159">
        <f t="shared" ref="H84:H91" si="30">$C84/H$3</f>
        <v>100</v>
      </c>
      <c r="I84" s="161">
        <v>100.0</v>
      </c>
    </row>
    <row r="85" ht="15.75" customHeight="1">
      <c r="A85" s="177"/>
      <c r="B85" s="178"/>
      <c r="C85" s="164">
        <v>1200.0</v>
      </c>
      <c r="D85" s="165">
        <f t="shared" si="28"/>
        <v>48</v>
      </c>
      <c r="E85" s="166">
        <v>45.0</v>
      </c>
      <c r="F85" s="165">
        <f t="shared" si="29"/>
        <v>68.57142857</v>
      </c>
      <c r="G85" s="166">
        <v>65.0</v>
      </c>
      <c r="H85" s="165">
        <f t="shared" si="30"/>
        <v>80</v>
      </c>
      <c r="I85" s="167">
        <v>80.0</v>
      </c>
    </row>
    <row r="86" ht="15.75" customHeight="1">
      <c r="A86" s="177"/>
      <c r="B86" s="178"/>
      <c r="C86" s="168">
        <v>900.0</v>
      </c>
      <c r="D86" s="165">
        <f t="shared" si="28"/>
        <v>36</v>
      </c>
      <c r="E86" s="166">
        <v>35.0</v>
      </c>
      <c r="F86" s="165">
        <f t="shared" si="29"/>
        <v>51.42857143</v>
      </c>
      <c r="G86" s="166">
        <v>50.0</v>
      </c>
      <c r="H86" s="165">
        <f t="shared" si="30"/>
        <v>60</v>
      </c>
      <c r="I86" s="167">
        <v>60.0</v>
      </c>
    </row>
    <row r="87" ht="15.75" customHeight="1">
      <c r="A87" s="177"/>
      <c r="B87" s="179"/>
      <c r="C87" s="170">
        <v>650.0</v>
      </c>
      <c r="D87" s="171">
        <f t="shared" si="28"/>
        <v>26</v>
      </c>
      <c r="E87" s="172">
        <v>25.0</v>
      </c>
      <c r="F87" s="171">
        <f t="shared" si="29"/>
        <v>37.14285714</v>
      </c>
      <c r="G87" s="172">
        <v>35.0</v>
      </c>
      <c r="H87" s="171">
        <f t="shared" si="30"/>
        <v>43.33333333</v>
      </c>
      <c r="I87" s="173">
        <v>40.0</v>
      </c>
    </row>
    <row r="88" ht="15.75" customHeight="1">
      <c r="A88" s="177"/>
      <c r="B88" s="176" t="s">
        <v>147</v>
      </c>
      <c r="C88" s="158">
        <v>1500.0</v>
      </c>
      <c r="D88" s="159">
        <f t="shared" si="28"/>
        <v>60</v>
      </c>
      <c r="E88" s="160">
        <v>60.0</v>
      </c>
      <c r="F88" s="159">
        <f t="shared" si="29"/>
        <v>85.71428571</v>
      </c>
      <c r="G88" s="160">
        <v>85.0</v>
      </c>
      <c r="H88" s="159">
        <f t="shared" si="30"/>
        <v>100</v>
      </c>
      <c r="I88" s="161">
        <v>100.0</v>
      </c>
    </row>
    <row r="89" ht="15.75" customHeight="1">
      <c r="A89" s="177"/>
      <c r="B89" s="178"/>
      <c r="C89" s="164">
        <v>1200.0</v>
      </c>
      <c r="D89" s="165">
        <f t="shared" si="28"/>
        <v>48</v>
      </c>
      <c r="E89" s="166">
        <v>45.0</v>
      </c>
      <c r="F89" s="165">
        <f t="shared" si="29"/>
        <v>68.57142857</v>
      </c>
      <c r="G89" s="166">
        <v>65.0</v>
      </c>
      <c r="H89" s="165">
        <f t="shared" si="30"/>
        <v>80</v>
      </c>
      <c r="I89" s="167">
        <v>80.0</v>
      </c>
    </row>
    <row r="90" ht="15.75" customHeight="1">
      <c r="A90" s="177"/>
      <c r="B90" s="178"/>
      <c r="C90" s="168">
        <v>1000.0</v>
      </c>
      <c r="D90" s="165">
        <f t="shared" si="28"/>
        <v>40</v>
      </c>
      <c r="E90" s="166">
        <v>40.0</v>
      </c>
      <c r="F90" s="165">
        <f t="shared" si="29"/>
        <v>57.14285714</v>
      </c>
      <c r="G90" s="166">
        <v>55.0</v>
      </c>
      <c r="H90" s="165">
        <f t="shared" si="30"/>
        <v>66.66666667</v>
      </c>
      <c r="I90" s="167">
        <v>65.0</v>
      </c>
    </row>
    <row r="91" ht="15.75" customHeight="1">
      <c r="A91" s="180"/>
      <c r="B91" s="179"/>
      <c r="C91" s="170">
        <v>800.0</v>
      </c>
      <c r="D91" s="171">
        <f t="shared" si="28"/>
        <v>32</v>
      </c>
      <c r="E91" s="172">
        <v>30.0</v>
      </c>
      <c r="F91" s="171">
        <f t="shared" si="29"/>
        <v>45.71428571</v>
      </c>
      <c r="G91" s="172">
        <v>45.0</v>
      </c>
      <c r="H91" s="171">
        <f t="shared" si="30"/>
        <v>53.33333333</v>
      </c>
      <c r="I91" s="173">
        <v>50.0</v>
      </c>
    </row>
    <row r="92" ht="15.75" customHeight="1"/>
    <row r="93" ht="15.75" customHeight="1"/>
    <row r="94" ht="15.75" customHeight="1"/>
    <row r="95" ht="15.75" customHeight="1">
      <c r="A95" s="147" t="s">
        <v>136</v>
      </c>
      <c r="B95" s="148" t="s">
        <v>137</v>
      </c>
      <c r="C95" s="149" t="s">
        <v>138</v>
      </c>
      <c r="D95" s="150" t="s">
        <v>139</v>
      </c>
      <c r="E95" s="151" t="s">
        <v>140</v>
      </c>
      <c r="F95" s="152" t="s">
        <v>141</v>
      </c>
      <c r="G95" s="153" t="s">
        <v>140</v>
      </c>
      <c r="H95" s="154" t="s">
        <v>142</v>
      </c>
      <c r="I95" s="155" t="s">
        <v>140</v>
      </c>
    </row>
    <row r="96" ht="15.75" customHeight="1">
      <c r="A96" s="181" t="s">
        <v>147</v>
      </c>
      <c r="B96" s="176" t="s">
        <v>147</v>
      </c>
      <c r="C96" s="158">
        <v>900.0</v>
      </c>
      <c r="D96" s="159">
        <f t="shared" ref="D96:D99" si="31">$C96/D$3</f>
        <v>36</v>
      </c>
      <c r="E96" s="160">
        <v>35.0</v>
      </c>
      <c r="F96" s="159">
        <f t="shared" ref="F96:F99" si="32">$C96/F$3</f>
        <v>51.42857143</v>
      </c>
      <c r="G96" s="160">
        <v>50.0</v>
      </c>
      <c r="H96" s="159">
        <f t="shared" ref="H96:H99" si="33">$C96/H$3</f>
        <v>60</v>
      </c>
      <c r="I96" s="161">
        <v>60.0</v>
      </c>
    </row>
    <row r="97" ht="15.75" customHeight="1">
      <c r="A97" s="177"/>
      <c r="B97" s="178"/>
      <c r="C97" s="164">
        <v>600.0</v>
      </c>
      <c r="D97" s="165">
        <f t="shared" si="31"/>
        <v>24</v>
      </c>
      <c r="E97" s="166">
        <v>20.0</v>
      </c>
      <c r="F97" s="165">
        <f t="shared" si="32"/>
        <v>34.28571429</v>
      </c>
      <c r="G97" s="166">
        <v>30.0</v>
      </c>
      <c r="H97" s="165">
        <f t="shared" si="33"/>
        <v>40</v>
      </c>
      <c r="I97" s="167">
        <v>40.0</v>
      </c>
    </row>
    <row r="98" ht="15.75" customHeight="1">
      <c r="A98" s="177"/>
      <c r="B98" s="178"/>
      <c r="C98" s="168">
        <v>400.0</v>
      </c>
      <c r="D98" s="165">
        <f t="shared" si="31"/>
        <v>16</v>
      </c>
      <c r="E98" s="166">
        <v>15.0</v>
      </c>
      <c r="F98" s="165">
        <f t="shared" si="32"/>
        <v>22.85714286</v>
      </c>
      <c r="G98" s="166">
        <v>20.0</v>
      </c>
      <c r="H98" s="165">
        <f t="shared" si="33"/>
        <v>26.66666667</v>
      </c>
      <c r="I98" s="167">
        <v>25.0</v>
      </c>
    </row>
    <row r="99" ht="15.75" customHeight="1">
      <c r="A99" s="177"/>
      <c r="B99" s="179"/>
      <c r="C99" s="170">
        <v>250.0</v>
      </c>
      <c r="D99" s="171">
        <f t="shared" si="31"/>
        <v>10</v>
      </c>
      <c r="E99" s="172">
        <v>10.0</v>
      </c>
      <c r="F99" s="171">
        <f t="shared" si="32"/>
        <v>14.28571429</v>
      </c>
      <c r="G99" s="172">
        <v>10.0</v>
      </c>
      <c r="H99" s="171">
        <f t="shared" si="33"/>
        <v>16.66666667</v>
      </c>
      <c r="I99" s="173">
        <v>15.0</v>
      </c>
    </row>
    <row r="100" ht="15.75" customHeight="1">
      <c r="A100" s="177"/>
      <c r="B100" s="176" t="s">
        <v>143</v>
      </c>
      <c r="C100" s="158">
        <f t="shared" ref="C100:I100" si="34">C21</f>
        <v>900</v>
      </c>
      <c r="D100" s="159">
        <f t="shared" si="34"/>
        <v>36</v>
      </c>
      <c r="E100" s="160">
        <f t="shared" si="34"/>
        <v>35</v>
      </c>
      <c r="F100" s="159">
        <f t="shared" si="34"/>
        <v>51.42857143</v>
      </c>
      <c r="G100" s="160">
        <f t="shared" si="34"/>
        <v>50</v>
      </c>
      <c r="H100" s="159">
        <f t="shared" si="34"/>
        <v>60</v>
      </c>
      <c r="I100" s="161">
        <f t="shared" si="34"/>
        <v>60</v>
      </c>
    </row>
    <row r="101" ht="15.75" customHeight="1">
      <c r="A101" s="177"/>
      <c r="B101" s="178"/>
      <c r="C101" s="164">
        <f t="shared" ref="C101:I101" si="35">C22</f>
        <v>750</v>
      </c>
      <c r="D101" s="165">
        <f t="shared" si="35"/>
        <v>30</v>
      </c>
      <c r="E101" s="166">
        <f t="shared" si="35"/>
        <v>30</v>
      </c>
      <c r="F101" s="165">
        <f t="shared" si="35"/>
        <v>42.85714286</v>
      </c>
      <c r="G101" s="166">
        <f t="shared" si="35"/>
        <v>40</v>
      </c>
      <c r="H101" s="165">
        <f t="shared" si="35"/>
        <v>50</v>
      </c>
      <c r="I101" s="167">
        <f t="shared" si="35"/>
        <v>50</v>
      </c>
    </row>
    <row r="102" ht="15.75" customHeight="1">
      <c r="A102" s="177"/>
      <c r="B102" s="178"/>
      <c r="C102" s="168">
        <f t="shared" ref="C102:I102" si="36">C23</f>
        <v>550</v>
      </c>
      <c r="D102" s="165">
        <f t="shared" si="36"/>
        <v>22</v>
      </c>
      <c r="E102" s="166">
        <f t="shared" si="36"/>
        <v>20</v>
      </c>
      <c r="F102" s="165">
        <f t="shared" si="36"/>
        <v>31.42857143</v>
      </c>
      <c r="G102" s="166">
        <f t="shared" si="36"/>
        <v>30</v>
      </c>
      <c r="H102" s="165">
        <f t="shared" si="36"/>
        <v>36.66666667</v>
      </c>
      <c r="I102" s="167">
        <f t="shared" si="36"/>
        <v>35</v>
      </c>
    </row>
    <row r="103" ht="15.75" customHeight="1">
      <c r="A103" s="177"/>
      <c r="B103" s="179"/>
      <c r="C103" s="170">
        <f t="shared" ref="C103:I103" si="37">C24</f>
        <v>400</v>
      </c>
      <c r="D103" s="171">
        <f t="shared" si="37"/>
        <v>16</v>
      </c>
      <c r="E103" s="172">
        <f t="shared" si="37"/>
        <v>15</v>
      </c>
      <c r="F103" s="171">
        <f t="shared" si="37"/>
        <v>22.85714286</v>
      </c>
      <c r="G103" s="172">
        <f t="shared" si="37"/>
        <v>20</v>
      </c>
      <c r="H103" s="171">
        <f t="shared" si="37"/>
        <v>26.66666667</v>
      </c>
      <c r="I103" s="173">
        <f t="shared" si="37"/>
        <v>25</v>
      </c>
    </row>
    <row r="104" ht="15.75" customHeight="1">
      <c r="A104" s="177"/>
      <c r="B104" s="176" t="s">
        <v>144</v>
      </c>
      <c r="C104" s="158">
        <f t="shared" ref="C104:I104" si="38">C43</f>
        <v>800</v>
      </c>
      <c r="D104" s="159">
        <f t="shared" si="38"/>
        <v>32</v>
      </c>
      <c r="E104" s="160">
        <f t="shared" si="38"/>
        <v>30</v>
      </c>
      <c r="F104" s="159">
        <f t="shared" si="38"/>
        <v>45.71428571</v>
      </c>
      <c r="G104" s="160">
        <f t="shared" si="38"/>
        <v>45</v>
      </c>
      <c r="H104" s="159">
        <f t="shared" si="38"/>
        <v>53.33333333</v>
      </c>
      <c r="I104" s="161">
        <f t="shared" si="38"/>
        <v>50</v>
      </c>
    </row>
    <row r="105" ht="15.75" customHeight="1">
      <c r="A105" s="177"/>
      <c r="B105" s="178"/>
      <c r="C105" s="164">
        <f t="shared" ref="C105:I105" si="39">C44</f>
        <v>550</v>
      </c>
      <c r="D105" s="165">
        <f t="shared" si="39"/>
        <v>22</v>
      </c>
      <c r="E105" s="166">
        <f t="shared" si="39"/>
        <v>20</v>
      </c>
      <c r="F105" s="165">
        <f t="shared" si="39"/>
        <v>31.42857143</v>
      </c>
      <c r="G105" s="166">
        <f t="shared" si="39"/>
        <v>30</v>
      </c>
      <c r="H105" s="165">
        <f t="shared" si="39"/>
        <v>36.66666667</v>
      </c>
      <c r="I105" s="167">
        <f t="shared" si="39"/>
        <v>35</v>
      </c>
    </row>
    <row r="106" ht="15.75" customHeight="1">
      <c r="A106" s="177"/>
      <c r="B106" s="178"/>
      <c r="C106" s="168">
        <f t="shared" ref="C106:I106" si="40">C45</f>
        <v>350</v>
      </c>
      <c r="D106" s="165">
        <f t="shared" si="40"/>
        <v>14</v>
      </c>
      <c r="E106" s="166">
        <f t="shared" si="40"/>
        <v>12</v>
      </c>
      <c r="F106" s="165">
        <f t="shared" si="40"/>
        <v>20</v>
      </c>
      <c r="G106" s="166">
        <f t="shared" si="40"/>
        <v>20</v>
      </c>
      <c r="H106" s="165">
        <f t="shared" si="40"/>
        <v>23.33333333</v>
      </c>
      <c r="I106" s="167">
        <f t="shared" si="40"/>
        <v>20</v>
      </c>
    </row>
    <row r="107" ht="15.75" customHeight="1">
      <c r="A107" s="177"/>
      <c r="B107" s="179"/>
      <c r="C107" s="170">
        <f t="shared" ref="C107:I107" si="41">C46</f>
        <v>250</v>
      </c>
      <c r="D107" s="171">
        <f t="shared" si="41"/>
        <v>10</v>
      </c>
      <c r="E107" s="172">
        <f t="shared" si="41"/>
        <v>10</v>
      </c>
      <c r="F107" s="171">
        <f t="shared" si="41"/>
        <v>14.28571429</v>
      </c>
      <c r="G107" s="172">
        <f t="shared" si="41"/>
        <v>10</v>
      </c>
      <c r="H107" s="171">
        <f t="shared" si="41"/>
        <v>16.66666667</v>
      </c>
      <c r="I107" s="173">
        <f t="shared" si="41"/>
        <v>15</v>
      </c>
    </row>
    <row r="108" ht="15.75" customHeight="1">
      <c r="A108" s="177"/>
      <c r="B108" s="176" t="s">
        <v>145</v>
      </c>
      <c r="C108" s="158">
        <f t="shared" ref="C108:I108" si="42">C66</f>
        <v>1300</v>
      </c>
      <c r="D108" s="159">
        <f t="shared" si="42"/>
        <v>52</v>
      </c>
      <c r="E108" s="160">
        <f t="shared" si="42"/>
        <v>50</v>
      </c>
      <c r="F108" s="159">
        <f t="shared" si="42"/>
        <v>74.28571429</v>
      </c>
      <c r="G108" s="160">
        <f t="shared" si="42"/>
        <v>75</v>
      </c>
      <c r="H108" s="159">
        <f t="shared" si="42"/>
        <v>86.66666667</v>
      </c>
      <c r="I108" s="161">
        <f t="shared" si="42"/>
        <v>90</v>
      </c>
    </row>
    <row r="109" ht="15.75" customHeight="1">
      <c r="A109" s="177"/>
      <c r="B109" s="178"/>
      <c r="C109" s="164">
        <f t="shared" ref="C109:I109" si="43">C67</f>
        <v>1100</v>
      </c>
      <c r="D109" s="165">
        <f t="shared" si="43"/>
        <v>44</v>
      </c>
      <c r="E109" s="166">
        <f t="shared" si="43"/>
        <v>40</v>
      </c>
      <c r="F109" s="165">
        <f t="shared" si="43"/>
        <v>62.85714286</v>
      </c>
      <c r="G109" s="166">
        <f t="shared" si="43"/>
        <v>60</v>
      </c>
      <c r="H109" s="165">
        <f t="shared" si="43"/>
        <v>73.33333333</v>
      </c>
      <c r="I109" s="167">
        <f t="shared" si="43"/>
        <v>70</v>
      </c>
    </row>
    <row r="110" ht="15.75" customHeight="1">
      <c r="A110" s="177"/>
      <c r="B110" s="178"/>
      <c r="C110" s="168">
        <f t="shared" ref="C110:I110" si="44">C68</f>
        <v>900</v>
      </c>
      <c r="D110" s="165">
        <f t="shared" si="44"/>
        <v>36</v>
      </c>
      <c r="E110" s="166">
        <f t="shared" si="44"/>
        <v>35</v>
      </c>
      <c r="F110" s="165">
        <f t="shared" si="44"/>
        <v>51.42857143</v>
      </c>
      <c r="G110" s="166">
        <f t="shared" si="44"/>
        <v>50</v>
      </c>
      <c r="H110" s="165">
        <f t="shared" si="44"/>
        <v>60</v>
      </c>
      <c r="I110" s="167">
        <f t="shared" si="44"/>
        <v>60</v>
      </c>
    </row>
    <row r="111" ht="15.75" customHeight="1">
      <c r="A111" s="177"/>
      <c r="B111" s="179"/>
      <c r="C111" s="170">
        <f t="shared" ref="C111:I111" si="45">C69</f>
        <v>550</v>
      </c>
      <c r="D111" s="171">
        <f t="shared" si="45"/>
        <v>22</v>
      </c>
      <c r="E111" s="172">
        <f t="shared" si="45"/>
        <v>20</v>
      </c>
      <c r="F111" s="171">
        <f t="shared" si="45"/>
        <v>31.42857143</v>
      </c>
      <c r="G111" s="172">
        <f t="shared" si="45"/>
        <v>30</v>
      </c>
      <c r="H111" s="171">
        <f t="shared" si="45"/>
        <v>36.66666667</v>
      </c>
      <c r="I111" s="173">
        <f t="shared" si="45"/>
        <v>35</v>
      </c>
    </row>
    <row r="112" ht="15.75" customHeight="1">
      <c r="A112" s="177"/>
      <c r="B112" s="176" t="s">
        <v>146</v>
      </c>
      <c r="C112" s="158">
        <f t="shared" ref="C112:I112" si="46">C88</f>
        <v>1500</v>
      </c>
      <c r="D112" s="159">
        <f t="shared" si="46"/>
        <v>60</v>
      </c>
      <c r="E112" s="160">
        <f t="shared" si="46"/>
        <v>60</v>
      </c>
      <c r="F112" s="159">
        <f t="shared" si="46"/>
        <v>85.71428571</v>
      </c>
      <c r="G112" s="160">
        <f t="shared" si="46"/>
        <v>85</v>
      </c>
      <c r="H112" s="159">
        <f t="shared" si="46"/>
        <v>100</v>
      </c>
      <c r="I112" s="161">
        <f t="shared" si="46"/>
        <v>100</v>
      </c>
    </row>
    <row r="113" ht="15.75" customHeight="1">
      <c r="A113" s="177"/>
      <c r="B113" s="178"/>
      <c r="C113" s="164">
        <f t="shared" ref="C113:I113" si="47">C89</f>
        <v>1200</v>
      </c>
      <c r="D113" s="165">
        <f t="shared" si="47"/>
        <v>48</v>
      </c>
      <c r="E113" s="166">
        <f t="shared" si="47"/>
        <v>45</v>
      </c>
      <c r="F113" s="165">
        <f t="shared" si="47"/>
        <v>68.57142857</v>
      </c>
      <c r="G113" s="166">
        <f t="shared" si="47"/>
        <v>65</v>
      </c>
      <c r="H113" s="165">
        <f t="shared" si="47"/>
        <v>80</v>
      </c>
      <c r="I113" s="167">
        <f t="shared" si="47"/>
        <v>80</v>
      </c>
    </row>
    <row r="114" ht="15.75" customHeight="1">
      <c r="A114" s="177"/>
      <c r="B114" s="178"/>
      <c r="C114" s="168">
        <f t="shared" ref="C114:I114" si="48">C90</f>
        <v>1000</v>
      </c>
      <c r="D114" s="165">
        <f t="shared" si="48"/>
        <v>40</v>
      </c>
      <c r="E114" s="166">
        <f t="shared" si="48"/>
        <v>40</v>
      </c>
      <c r="F114" s="165">
        <f t="shared" si="48"/>
        <v>57.14285714</v>
      </c>
      <c r="G114" s="166">
        <f t="shared" si="48"/>
        <v>55</v>
      </c>
      <c r="H114" s="165">
        <f t="shared" si="48"/>
        <v>66.66666667</v>
      </c>
      <c r="I114" s="167">
        <f t="shared" si="48"/>
        <v>65</v>
      </c>
    </row>
    <row r="115" ht="15.75" customHeight="1">
      <c r="A115" s="180"/>
      <c r="B115" s="179"/>
      <c r="C115" s="170">
        <f t="shared" ref="C115:I115" si="49">C91</f>
        <v>800</v>
      </c>
      <c r="D115" s="171">
        <f t="shared" si="49"/>
        <v>32</v>
      </c>
      <c r="E115" s="172">
        <f t="shared" si="49"/>
        <v>30</v>
      </c>
      <c r="F115" s="171">
        <f t="shared" si="49"/>
        <v>45.71428571</v>
      </c>
      <c r="G115" s="172">
        <f t="shared" si="49"/>
        <v>45</v>
      </c>
      <c r="H115" s="171">
        <f t="shared" si="49"/>
        <v>53.33333333</v>
      </c>
      <c r="I115" s="173">
        <f t="shared" si="49"/>
        <v>50</v>
      </c>
    </row>
    <row r="116" ht="15.75" customHeight="1"/>
    <row r="117" ht="15.75" customHeight="1">
      <c r="A117" s="147" t="s">
        <v>136</v>
      </c>
      <c r="B117" s="148" t="s">
        <v>137</v>
      </c>
      <c r="C117" s="149" t="s">
        <v>138</v>
      </c>
      <c r="D117" s="150" t="s">
        <v>139</v>
      </c>
      <c r="E117" s="151" t="s">
        <v>140</v>
      </c>
      <c r="F117" s="152" t="s">
        <v>141</v>
      </c>
      <c r="G117" s="153" t="s">
        <v>140</v>
      </c>
      <c r="H117" s="154" t="s">
        <v>142</v>
      </c>
      <c r="I117" s="155" t="s">
        <v>140</v>
      </c>
      <c r="K117" s="1" t="s">
        <v>148</v>
      </c>
    </row>
    <row r="118" ht="15.75" customHeight="1">
      <c r="A118" s="181" t="s">
        <v>149</v>
      </c>
      <c r="B118" s="176" t="s">
        <v>147</v>
      </c>
      <c r="C118" s="158">
        <v>1700.0</v>
      </c>
      <c r="D118" s="159">
        <f t="shared" ref="D118:D137" si="50">$C118/D$3</f>
        <v>68</v>
      </c>
      <c r="E118" s="160">
        <v>70.0</v>
      </c>
      <c r="F118" s="159">
        <f t="shared" ref="F118:F137" si="51">$C118/F$3</f>
        <v>97.14285714</v>
      </c>
      <c r="G118" s="160">
        <v>95.0</v>
      </c>
      <c r="H118" s="159">
        <f t="shared" ref="H118:H137" si="52">$C118/H$3</f>
        <v>113.3333333</v>
      </c>
      <c r="I118" s="161">
        <v>110.0</v>
      </c>
      <c r="K118" s="1" t="s">
        <v>150</v>
      </c>
    </row>
    <row r="119" ht="15.75" customHeight="1">
      <c r="A119" s="177"/>
      <c r="B119" s="178"/>
      <c r="C119" s="164">
        <v>1400.0</v>
      </c>
      <c r="D119" s="165">
        <f t="shared" si="50"/>
        <v>56</v>
      </c>
      <c r="E119" s="166">
        <v>55.0</v>
      </c>
      <c r="F119" s="165">
        <f t="shared" si="51"/>
        <v>80</v>
      </c>
      <c r="G119" s="166">
        <v>80.0</v>
      </c>
      <c r="H119" s="165">
        <f t="shared" si="52"/>
        <v>93.33333333</v>
      </c>
      <c r="I119" s="167">
        <v>90.0</v>
      </c>
    </row>
    <row r="120" ht="15.75" customHeight="1">
      <c r="A120" s="177"/>
      <c r="B120" s="178"/>
      <c r="C120" s="168">
        <v>1100.0</v>
      </c>
      <c r="D120" s="165">
        <f t="shared" si="50"/>
        <v>44</v>
      </c>
      <c r="E120" s="166">
        <v>40.0</v>
      </c>
      <c r="F120" s="165">
        <f t="shared" si="51"/>
        <v>62.85714286</v>
      </c>
      <c r="G120" s="166">
        <v>60.0</v>
      </c>
      <c r="H120" s="165">
        <f t="shared" si="52"/>
        <v>73.33333333</v>
      </c>
      <c r="I120" s="167">
        <v>70.0</v>
      </c>
    </row>
    <row r="121" ht="15.75" customHeight="1">
      <c r="A121" s="177"/>
      <c r="B121" s="179"/>
      <c r="C121" s="170">
        <v>900.0</v>
      </c>
      <c r="D121" s="171">
        <f t="shared" si="50"/>
        <v>36</v>
      </c>
      <c r="E121" s="172">
        <v>35.0</v>
      </c>
      <c r="F121" s="171">
        <f t="shared" si="51"/>
        <v>51.42857143</v>
      </c>
      <c r="G121" s="172">
        <v>50.0</v>
      </c>
      <c r="H121" s="171">
        <f t="shared" si="52"/>
        <v>60</v>
      </c>
      <c r="I121" s="173">
        <v>60.0</v>
      </c>
    </row>
    <row r="122" ht="15.75" customHeight="1">
      <c r="A122" s="177"/>
      <c r="B122" s="176" t="s">
        <v>143</v>
      </c>
      <c r="C122" s="158">
        <v>2500.0</v>
      </c>
      <c r="D122" s="159">
        <f t="shared" si="50"/>
        <v>100</v>
      </c>
      <c r="E122" s="160">
        <v>100.0</v>
      </c>
      <c r="F122" s="159">
        <f t="shared" si="51"/>
        <v>142.8571429</v>
      </c>
      <c r="G122" s="160">
        <v>140.0</v>
      </c>
      <c r="H122" s="159">
        <f t="shared" si="52"/>
        <v>166.6666667</v>
      </c>
      <c r="I122" s="161">
        <v>165.0</v>
      </c>
    </row>
    <row r="123" ht="15.75" customHeight="1">
      <c r="A123" s="177"/>
      <c r="B123" s="178"/>
      <c r="C123" s="164">
        <v>2300.0</v>
      </c>
      <c r="D123" s="165">
        <f t="shared" si="50"/>
        <v>92</v>
      </c>
      <c r="E123" s="166">
        <v>90.0</v>
      </c>
      <c r="F123" s="165">
        <f t="shared" si="51"/>
        <v>131.4285714</v>
      </c>
      <c r="G123" s="166">
        <v>130.0</v>
      </c>
      <c r="H123" s="165">
        <f t="shared" si="52"/>
        <v>153.3333333</v>
      </c>
      <c r="I123" s="167">
        <v>150.0</v>
      </c>
    </row>
    <row r="124" ht="15.75" customHeight="1">
      <c r="A124" s="177"/>
      <c r="B124" s="178"/>
      <c r="C124" s="168">
        <v>2100.0</v>
      </c>
      <c r="D124" s="165">
        <f t="shared" si="50"/>
        <v>84</v>
      </c>
      <c r="E124" s="166">
        <v>80.0</v>
      </c>
      <c r="F124" s="165">
        <f t="shared" si="51"/>
        <v>120</v>
      </c>
      <c r="G124" s="166">
        <v>120.0</v>
      </c>
      <c r="H124" s="165">
        <f t="shared" si="52"/>
        <v>140</v>
      </c>
      <c r="I124" s="167">
        <v>140.0</v>
      </c>
    </row>
    <row r="125" ht="15.75" customHeight="1">
      <c r="A125" s="177"/>
      <c r="B125" s="179"/>
      <c r="C125" s="170">
        <v>1800.0</v>
      </c>
      <c r="D125" s="171">
        <f t="shared" si="50"/>
        <v>72</v>
      </c>
      <c r="E125" s="172">
        <v>70.0</v>
      </c>
      <c r="F125" s="171">
        <f t="shared" si="51"/>
        <v>102.8571429</v>
      </c>
      <c r="G125" s="172">
        <v>100.0</v>
      </c>
      <c r="H125" s="171">
        <f t="shared" si="52"/>
        <v>120</v>
      </c>
      <c r="I125" s="173">
        <v>120.0</v>
      </c>
    </row>
    <row r="126" ht="15.75" customHeight="1">
      <c r="A126" s="177"/>
      <c r="B126" s="176" t="s">
        <v>144</v>
      </c>
      <c r="C126" s="158">
        <v>2500.0</v>
      </c>
      <c r="D126" s="165">
        <f t="shared" si="50"/>
        <v>100</v>
      </c>
      <c r="E126" s="166">
        <v>100.0</v>
      </c>
      <c r="F126" s="165">
        <f t="shared" si="51"/>
        <v>142.8571429</v>
      </c>
      <c r="G126" s="166">
        <v>140.0</v>
      </c>
      <c r="H126" s="165">
        <f t="shared" si="52"/>
        <v>166.6666667</v>
      </c>
      <c r="I126" s="167">
        <v>165.0</v>
      </c>
    </row>
    <row r="127" ht="15.75" customHeight="1">
      <c r="A127" s="177"/>
      <c r="B127" s="178"/>
      <c r="C127" s="164">
        <v>1800.0</v>
      </c>
      <c r="D127" s="165">
        <f t="shared" si="50"/>
        <v>72</v>
      </c>
      <c r="E127" s="166">
        <v>70.0</v>
      </c>
      <c r="F127" s="165">
        <f t="shared" si="51"/>
        <v>102.8571429</v>
      </c>
      <c r="G127" s="166">
        <v>100.0</v>
      </c>
      <c r="H127" s="165">
        <f t="shared" si="52"/>
        <v>120</v>
      </c>
      <c r="I127" s="167">
        <v>120.0</v>
      </c>
    </row>
    <row r="128" ht="15.75" customHeight="1">
      <c r="A128" s="177"/>
      <c r="B128" s="178"/>
      <c r="C128" s="168">
        <v>1200.0</v>
      </c>
      <c r="D128" s="165">
        <f t="shared" si="50"/>
        <v>48</v>
      </c>
      <c r="E128" s="166">
        <v>45.0</v>
      </c>
      <c r="F128" s="165">
        <f t="shared" si="51"/>
        <v>68.57142857</v>
      </c>
      <c r="G128" s="166">
        <v>65.0</v>
      </c>
      <c r="H128" s="165">
        <f t="shared" si="52"/>
        <v>80</v>
      </c>
      <c r="I128" s="167">
        <v>80.0</v>
      </c>
    </row>
    <row r="129" ht="15.75" customHeight="1">
      <c r="A129" s="177"/>
      <c r="B129" s="179"/>
      <c r="C129" s="170">
        <v>900.0</v>
      </c>
      <c r="D129" s="171">
        <f t="shared" si="50"/>
        <v>36</v>
      </c>
      <c r="E129" s="172">
        <v>35.0</v>
      </c>
      <c r="F129" s="171">
        <f t="shared" si="51"/>
        <v>51.42857143</v>
      </c>
      <c r="G129" s="172">
        <v>50.0</v>
      </c>
      <c r="H129" s="171">
        <f t="shared" si="52"/>
        <v>60</v>
      </c>
      <c r="I129" s="173">
        <v>60.0</v>
      </c>
    </row>
    <row r="130" ht="15.75" customHeight="1">
      <c r="A130" s="177"/>
      <c r="B130" s="176" t="s">
        <v>145</v>
      </c>
      <c r="C130" s="158">
        <v>1800.0</v>
      </c>
      <c r="D130" s="165">
        <f t="shared" si="50"/>
        <v>72</v>
      </c>
      <c r="E130" s="166">
        <v>75.0</v>
      </c>
      <c r="F130" s="165">
        <f t="shared" si="51"/>
        <v>102.8571429</v>
      </c>
      <c r="G130" s="166">
        <v>105.0</v>
      </c>
      <c r="H130" s="165">
        <f t="shared" si="52"/>
        <v>120</v>
      </c>
      <c r="I130" s="167">
        <v>120.0</v>
      </c>
    </row>
    <row r="131" ht="15.75" customHeight="1">
      <c r="A131" s="177"/>
      <c r="B131" s="178"/>
      <c r="C131" s="164">
        <v>1300.0</v>
      </c>
      <c r="D131" s="165">
        <f t="shared" si="50"/>
        <v>52</v>
      </c>
      <c r="E131" s="166">
        <v>50.0</v>
      </c>
      <c r="F131" s="165">
        <f t="shared" si="51"/>
        <v>74.28571429</v>
      </c>
      <c r="G131" s="166">
        <v>70.0</v>
      </c>
      <c r="H131" s="165">
        <f t="shared" si="52"/>
        <v>86.66666667</v>
      </c>
      <c r="I131" s="167">
        <v>85.0</v>
      </c>
    </row>
    <row r="132" ht="15.75" customHeight="1">
      <c r="A132" s="177"/>
      <c r="B132" s="178"/>
      <c r="C132" s="168">
        <v>850.0</v>
      </c>
      <c r="D132" s="165">
        <f t="shared" si="50"/>
        <v>34</v>
      </c>
      <c r="E132" s="166">
        <v>30.0</v>
      </c>
      <c r="F132" s="165">
        <f t="shared" si="51"/>
        <v>48.57142857</v>
      </c>
      <c r="G132" s="166">
        <v>45.0</v>
      </c>
      <c r="H132" s="165">
        <f t="shared" si="52"/>
        <v>56.66666667</v>
      </c>
      <c r="I132" s="167">
        <v>55.0</v>
      </c>
    </row>
    <row r="133" ht="15.75" customHeight="1">
      <c r="A133" s="177"/>
      <c r="B133" s="179"/>
      <c r="C133" s="170">
        <v>700.0</v>
      </c>
      <c r="D133" s="171">
        <f t="shared" si="50"/>
        <v>28</v>
      </c>
      <c r="E133" s="172">
        <v>25.0</v>
      </c>
      <c r="F133" s="171">
        <f t="shared" si="51"/>
        <v>40</v>
      </c>
      <c r="G133" s="172">
        <v>40.0</v>
      </c>
      <c r="H133" s="171">
        <f t="shared" si="52"/>
        <v>46.66666667</v>
      </c>
      <c r="I133" s="173">
        <v>45.0</v>
      </c>
    </row>
    <row r="134" ht="15.75" customHeight="1">
      <c r="A134" s="177"/>
      <c r="B134" s="176" t="s">
        <v>146</v>
      </c>
      <c r="C134" s="158">
        <v>2500.0</v>
      </c>
      <c r="D134" s="165">
        <f t="shared" si="50"/>
        <v>100</v>
      </c>
      <c r="E134" s="166">
        <v>100.0</v>
      </c>
      <c r="F134" s="165">
        <f t="shared" si="51"/>
        <v>142.8571429</v>
      </c>
      <c r="G134" s="166">
        <v>145.0</v>
      </c>
      <c r="H134" s="165">
        <f t="shared" si="52"/>
        <v>166.6666667</v>
      </c>
      <c r="I134" s="167">
        <v>165.0</v>
      </c>
    </row>
    <row r="135" ht="15.75" customHeight="1">
      <c r="A135" s="177"/>
      <c r="B135" s="178"/>
      <c r="C135" s="164">
        <v>2200.0</v>
      </c>
      <c r="D135" s="165">
        <f t="shared" si="50"/>
        <v>88</v>
      </c>
      <c r="E135" s="166">
        <v>85.0</v>
      </c>
      <c r="F135" s="165">
        <f t="shared" si="51"/>
        <v>125.7142857</v>
      </c>
      <c r="G135" s="166">
        <v>125.0</v>
      </c>
      <c r="H135" s="165">
        <f t="shared" si="52"/>
        <v>146.6666667</v>
      </c>
      <c r="I135" s="167">
        <v>145.0</v>
      </c>
    </row>
    <row r="136" ht="15.75" customHeight="1">
      <c r="A136" s="177"/>
      <c r="B136" s="178"/>
      <c r="C136" s="168">
        <v>2000.0</v>
      </c>
      <c r="D136" s="165">
        <f t="shared" si="50"/>
        <v>80</v>
      </c>
      <c r="E136" s="166">
        <v>80.0</v>
      </c>
      <c r="F136" s="165">
        <f t="shared" si="51"/>
        <v>114.2857143</v>
      </c>
      <c r="G136" s="166">
        <v>110.0</v>
      </c>
      <c r="H136" s="165">
        <f t="shared" si="52"/>
        <v>133.3333333</v>
      </c>
      <c r="I136" s="167">
        <v>130.0</v>
      </c>
    </row>
    <row r="137" ht="15.75" customHeight="1">
      <c r="A137" s="180"/>
      <c r="B137" s="179"/>
      <c r="C137" s="170">
        <v>1500.0</v>
      </c>
      <c r="D137" s="171">
        <f t="shared" si="50"/>
        <v>60</v>
      </c>
      <c r="E137" s="172">
        <v>60.0</v>
      </c>
      <c r="F137" s="171">
        <f t="shared" si="51"/>
        <v>85.71428571</v>
      </c>
      <c r="G137" s="172">
        <v>85.0</v>
      </c>
      <c r="H137" s="171">
        <f t="shared" si="52"/>
        <v>100</v>
      </c>
      <c r="I137" s="173">
        <v>100.0</v>
      </c>
    </row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>
      <c r="A146" s="147" t="s">
        <v>136</v>
      </c>
      <c r="B146" s="148" t="s">
        <v>137</v>
      </c>
      <c r="C146" s="149" t="s">
        <v>138</v>
      </c>
      <c r="D146" s="150" t="s">
        <v>139</v>
      </c>
      <c r="E146" s="151" t="s">
        <v>140</v>
      </c>
      <c r="F146" s="152" t="s">
        <v>141</v>
      </c>
      <c r="G146" s="153" t="s">
        <v>140</v>
      </c>
      <c r="H146" s="154" t="s">
        <v>142</v>
      </c>
      <c r="I146" s="155" t="s">
        <v>140</v>
      </c>
      <c r="J146" s="182" t="s">
        <v>151</v>
      </c>
      <c r="K146" s="183" t="s">
        <v>152</v>
      </c>
      <c r="L146" s="184" t="s">
        <v>153</v>
      </c>
      <c r="N146" s="1" t="s">
        <v>154</v>
      </c>
    </row>
    <row r="147" ht="15.75" customHeight="1">
      <c r="A147" s="156" t="s">
        <v>155</v>
      </c>
      <c r="B147" s="185" t="s">
        <v>156</v>
      </c>
      <c r="C147" s="186">
        <v>1600.0</v>
      </c>
      <c r="D147" s="159">
        <f t="shared" ref="D147:D150" si="53">$C147/D$3</f>
        <v>64</v>
      </c>
      <c r="E147" s="160">
        <v>45.0</v>
      </c>
      <c r="F147" s="159">
        <f t="shared" ref="F147:F150" si="54">$C147/F$3</f>
        <v>91.42857143</v>
      </c>
      <c r="G147" s="160">
        <v>70.0</v>
      </c>
      <c r="H147" s="159">
        <f t="shared" ref="H147:H150" si="55">$C147/H$3</f>
        <v>106.6666667</v>
      </c>
      <c r="I147" s="161">
        <v>75.0</v>
      </c>
      <c r="J147" s="187">
        <v>20.0</v>
      </c>
      <c r="K147" s="187">
        <v>60.0</v>
      </c>
      <c r="L147" s="187">
        <v>22.0</v>
      </c>
      <c r="N147" s="6">
        <v>500.0</v>
      </c>
    </row>
    <row r="148" ht="15.75" customHeight="1">
      <c r="A148" s="162"/>
      <c r="B148" s="162"/>
      <c r="C148" s="188">
        <v>1300.0</v>
      </c>
      <c r="D148" s="165">
        <f t="shared" si="53"/>
        <v>52</v>
      </c>
      <c r="E148" s="166">
        <v>35.0</v>
      </c>
      <c r="F148" s="165">
        <f t="shared" si="54"/>
        <v>74.28571429</v>
      </c>
      <c r="G148" s="166">
        <v>55.0</v>
      </c>
      <c r="H148" s="165">
        <f t="shared" si="55"/>
        <v>86.66666667</v>
      </c>
      <c r="I148" s="167">
        <v>65.0</v>
      </c>
      <c r="J148" s="159" t="s">
        <v>157</v>
      </c>
      <c r="K148" s="189" t="s">
        <v>157</v>
      </c>
      <c r="L148" s="189" t="s">
        <v>157</v>
      </c>
      <c r="N148" s="1" t="s">
        <v>158</v>
      </c>
    </row>
    <row r="149" ht="15.75" customHeight="1">
      <c r="A149" s="162"/>
      <c r="B149" s="162"/>
      <c r="C149" s="190">
        <v>1000.0</v>
      </c>
      <c r="D149" s="165">
        <f t="shared" si="53"/>
        <v>40</v>
      </c>
      <c r="E149" s="166">
        <v>20.0</v>
      </c>
      <c r="F149" s="165">
        <f t="shared" si="54"/>
        <v>57.14285714</v>
      </c>
      <c r="G149" s="166">
        <v>35.0</v>
      </c>
      <c r="H149" s="165">
        <f t="shared" si="55"/>
        <v>66.66666667</v>
      </c>
      <c r="I149" s="167">
        <v>45.0</v>
      </c>
      <c r="J149" s="189" t="s">
        <v>157</v>
      </c>
      <c r="K149" s="189" t="s">
        <v>157</v>
      </c>
      <c r="L149" s="189" t="s">
        <v>157</v>
      </c>
      <c r="N149" s="1" t="s">
        <v>159</v>
      </c>
    </row>
    <row r="150" ht="15.75" customHeight="1">
      <c r="A150" s="174"/>
      <c r="B150" s="174"/>
      <c r="C150" s="191">
        <v>600.0</v>
      </c>
      <c r="D150" s="171">
        <f t="shared" si="53"/>
        <v>24</v>
      </c>
      <c r="E150" s="172">
        <v>10.0</v>
      </c>
      <c r="F150" s="171">
        <f t="shared" si="54"/>
        <v>34.28571429</v>
      </c>
      <c r="G150" s="172">
        <v>15.0</v>
      </c>
      <c r="H150" s="171">
        <f t="shared" si="55"/>
        <v>40</v>
      </c>
      <c r="I150" s="173">
        <v>20.0</v>
      </c>
      <c r="J150" s="189" t="s">
        <v>157</v>
      </c>
      <c r="K150" s="189" t="s">
        <v>157</v>
      </c>
      <c r="L150" s="189" t="s">
        <v>157</v>
      </c>
      <c r="N150" s="1" t="s">
        <v>160</v>
      </c>
    </row>
    <row r="151" ht="15.75" customHeight="1">
      <c r="B151" s="1" t="s">
        <v>161</v>
      </c>
      <c r="N151" s="1" t="s">
        <v>162</v>
      </c>
    </row>
    <row r="152" ht="15.75" customHeight="1"/>
    <row r="153" ht="15.75" customHeight="1"/>
    <row r="154" ht="15.75" customHeight="1">
      <c r="A154" s="147" t="s">
        <v>136</v>
      </c>
      <c r="B154" s="148" t="s">
        <v>137</v>
      </c>
      <c r="C154" s="149" t="s">
        <v>138</v>
      </c>
      <c r="D154" s="150" t="s">
        <v>139</v>
      </c>
      <c r="E154" s="151" t="s">
        <v>140</v>
      </c>
      <c r="F154" s="152" t="s">
        <v>141</v>
      </c>
      <c r="G154" s="153" t="s">
        <v>140</v>
      </c>
      <c r="H154" s="154" t="s">
        <v>142</v>
      </c>
      <c r="I154" s="155" t="s">
        <v>140</v>
      </c>
      <c r="J154" s="182" t="s">
        <v>151</v>
      </c>
      <c r="K154" s="183" t="s">
        <v>152</v>
      </c>
      <c r="L154" s="184" t="s">
        <v>153</v>
      </c>
      <c r="N154" s="1" t="s">
        <v>154</v>
      </c>
    </row>
    <row r="155" ht="15.75" customHeight="1">
      <c r="A155" s="156" t="s">
        <v>155</v>
      </c>
      <c r="B155" s="185" t="s">
        <v>163</v>
      </c>
      <c r="C155" s="186">
        <v>2500.0</v>
      </c>
      <c r="D155" s="159">
        <f t="shared" ref="D155:D158" si="56">$C155/D$3</f>
        <v>100</v>
      </c>
      <c r="E155" s="160">
        <v>85.0</v>
      </c>
      <c r="F155" s="159" t="s">
        <v>157</v>
      </c>
      <c r="G155" s="160" t="s">
        <v>157</v>
      </c>
      <c r="H155" s="159">
        <f t="shared" ref="H155:H158" si="57">$C155/H$3</f>
        <v>166.6666667</v>
      </c>
      <c r="I155" s="161">
        <v>150.0</v>
      </c>
      <c r="J155" s="189" t="s">
        <v>157</v>
      </c>
      <c r="K155" s="187">
        <v>60.0</v>
      </c>
      <c r="L155" s="187">
        <v>26.0</v>
      </c>
      <c r="N155" s="6">
        <v>300.0</v>
      </c>
    </row>
    <row r="156" ht="15.75" customHeight="1">
      <c r="A156" s="162"/>
      <c r="B156" s="162"/>
      <c r="C156" s="188">
        <v>2000.0</v>
      </c>
      <c r="D156" s="165">
        <f t="shared" si="56"/>
        <v>80</v>
      </c>
      <c r="E156" s="166">
        <v>65.0</v>
      </c>
      <c r="F156" s="159" t="s">
        <v>157</v>
      </c>
      <c r="G156" s="160" t="s">
        <v>157</v>
      </c>
      <c r="H156" s="165">
        <f t="shared" si="57"/>
        <v>133.3333333</v>
      </c>
      <c r="I156" s="167">
        <v>115.0</v>
      </c>
      <c r="J156" s="189" t="s">
        <v>157</v>
      </c>
      <c r="K156" s="189" t="s">
        <v>157</v>
      </c>
      <c r="L156" s="189" t="s">
        <v>157</v>
      </c>
      <c r="N156" s="1" t="s">
        <v>158</v>
      </c>
    </row>
    <row r="157" ht="15.75" customHeight="1">
      <c r="A157" s="162"/>
      <c r="B157" s="162"/>
      <c r="C157" s="190">
        <v>1500.0</v>
      </c>
      <c r="D157" s="165">
        <f t="shared" si="56"/>
        <v>60</v>
      </c>
      <c r="E157" s="166">
        <v>45.0</v>
      </c>
      <c r="F157" s="159" t="s">
        <v>157</v>
      </c>
      <c r="G157" s="160" t="s">
        <v>157</v>
      </c>
      <c r="H157" s="165">
        <f t="shared" si="57"/>
        <v>100</v>
      </c>
      <c r="I157" s="167">
        <v>80.0</v>
      </c>
      <c r="J157" s="189" t="s">
        <v>157</v>
      </c>
      <c r="K157" s="189" t="s">
        <v>157</v>
      </c>
      <c r="L157" s="189" t="s">
        <v>157</v>
      </c>
      <c r="N157" s="1" t="s">
        <v>164</v>
      </c>
    </row>
    <row r="158" ht="15.75" customHeight="1">
      <c r="A158" s="174"/>
      <c r="B158" s="174"/>
      <c r="C158" s="191">
        <v>1000.0</v>
      </c>
      <c r="D158" s="171">
        <f t="shared" si="56"/>
        <v>40</v>
      </c>
      <c r="E158" s="172">
        <v>25.0</v>
      </c>
      <c r="F158" s="159" t="s">
        <v>157</v>
      </c>
      <c r="G158" s="160" t="s">
        <v>157</v>
      </c>
      <c r="H158" s="171">
        <f t="shared" si="57"/>
        <v>66.66666667</v>
      </c>
      <c r="I158" s="173">
        <v>45.0</v>
      </c>
      <c r="J158" s="189" t="s">
        <v>157</v>
      </c>
      <c r="K158" s="189" t="s">
        <v>157</v>
      </c>
      <c r="L158" s="189" t="s">
        <v>157</v>
      </c>
      <c r="N158" s="1" t="s">
        <v>165</v>
      </c>
    </row>
    <row r="159" ht="15.75" customHeight="1">
      <c r="N159" s="1" t="s">
        <v>166</v>
      </c>
    </row>
    <row r="160" ht="15.75" customHeight="1"/>
    <row r="161" ht="15.75" customHeight="1"/>
    <row r="162" ht="15.75" customHeight="1">
      <c r="A162" s="147" t="s">
        <v>136</v>
      </c>
      <c r="B162" s="148" t="s">
        <v>137</v>
      </c>
      <c r="C162" s="149" t="s">
        <v>138</v>
      </c>
      <c r="D162" s="150" t="s">
        <v>139</v>
      </c>
      <c r="E162" s="151" t="s">
        <v>140</v>
      </c>
      <c r="F162" s="152" t="s">
        <v>141</v>
      </c>
      <c r="G162" s="153" t="s">
        <v>140</v>
      </c>
      <c r="H162" s="154" t="s">
        <v>142</v>
      </c>
      <c r="I162" s="155" t="s">
        <v>140</v>
      </c>
      <c r="J162" s="182" t="s">
        <v>151</v>
      </c>
      <c r="K162" s="183" t="s">
        <v>152</v>
      </c>
      <c r="L162" s="184" t="s">
        <v>153</v>
      </c>
      <c r="O162" s="1" t="s">
        <v>154</v>
      </c>
    </row>
    <row r="163" ht="15.75" customHeight="1">
      <c r="A163" s="156" t="s">
        <v>155</v>
      </c>
      <c r="B163" s="185" t="s">
        <v>167</v>
      </c>
      <c r="C163" s="186">
        <v>2800.0</v>
      </c>
      <c r="D163" s="159">
        <f t="shared" ref="D163:D166" si="58">$C163/D$3</f>
        <v>112</v>
      </c>
      <c r="E163" s="160">
        <v>100.0</v>
      </c>
      <c r="F163" s="159">
        <f t="shared" ref="F163:F166" si="59">$C163/F$3</f>
        <v>160</v>
      </c>
      <c r="G163" s="160">
        <v>140.0</v>
      </c>
      <c r="H163" s="159">
        <f t="shared" ref="H163:H166" si="60">$C163/H$3</f>
        <v>186.6666667</v>
      </c>
      <c r="I163" s="161">
        <v>165.0</v>
      </c>
      <c r="J163" s="189" t="s">
        <v>157</v>
      </c>
      <c r="K163" s="187">
        <v>110.0</v>
      </c>
      <c r="L163" s="192">
        <v>51.5</v>
      </c>
      <c r="O163" s="6">
        <v>400.0</v>
      </c>
    </row>
    <row r="164" ht="15.75" customHeight="1">
      <c r="A164" s="162"/>
      <c r="B164" s="162"/>
      <c r="C164" s="188">
        <v>2300.0</v>
      </c>
      <c r="D164" s="165">
        <f t="shared" si="58"/>
        <v>92</v>
      </c>
      <c r="E164" s="166">
        <v>75.0</v>
      </c>
      <c r="F164" s="165">
        <f t="shared" si="59"/>
        <v>131.4285714</v>
      </c>
      <c r="G164" s="166">
        <v>110.0</v>
      </c>
      <c r="H164" s="165">
        <f t="shared" si="60"/>
        <v>153.3333333</v>
      </c>
      <c r="I164" s="167">
        <v>130.0</v>
      </c>
      <c r="J164" s="187">
        <v>40.0</v>
      </c>
      <c r="K164" s="189" t="s">
        <v>157</v>
      </c>
      <c r="L164" s="189" t="s">
        <v>157</v>
      </c>
      <c r="O164" s="1" t="s">
        <v>158</v>
      </c>
    </row>
    <row r="165" ht="15.75" customHeight="1">
      <c r="A165" s="162"/>
      <c r="B165" s="162"/>
      <c r="C165" s="190">
        <v>2000.0</v>
      </c>
      <c r="D165" s="165">
        <f t="shared" si="58"/>
        <v>80</v>
      </c>
      <c r="E165" s="166">
        <v>65.0</v>
      </c>
      <c r="F165" s="165">
        <f t="shared" si="59"/>
        <v>114.2857143</v>
      </c>
      <c r="G165" s="166">
        <v>95.0</v>
      </c>
      <c r="H165" s="165">
        <f t="shared" si="60"/>
        <v>133.3333333</v>
      </c>
      <c r="I165" s="167">
        <v>110.0</v>
      </c>
      <c r="J165" s="189" t="s">
        <v>157</v>
      </c>
      <c r="K165" s="189" t="s">
        <v>157</v>
      </c>
      <c r="L165" s="189" t="s">
        <v>157</v>
      </c>
      <c r="O165" s="1" t="s">
        <v>164</v>
      </c>
    </row>
    <row r="166" ht="15.75" customHeight="1">
      <c r="A166" s="174"/>
      <c r="B166" s="174"/>
      <c r="C166" s="191">
        <v>1500.0</v>
      </c>
      <c r="D166" s="171">
        <f t="shared" si="58"/>
        <v>60</v>
      </c>
      <c r="E166" s="172">
        <v>45.0</v>
      </c>
      <c r="F166" s="171">
        <f t="shared" si="59"/>
        <v>85.71428571</v>
      </c>
      <c r="G166" s="172">
        <v>65.0</v>
      </c>
      <c r="H166" s="171">
        <f t="shared" si="60"/>
        <v>100</v>
      </c>
      <c r="I166" s="173">
        <v>75.0</v>
      </c>
      <c r="J166" s="189" t="s">
        <v>157</v>
      </c>
      <c r="K166" s="189" t="s">
        <v>157</v>
      </c>
      <c r="L166" s="189" t="s">
        <v>157</v>
      </c>
      <c r="O166" s="1" t="s">
        <v>165</v>
      </c>
    </row>
    <row r="167" ht="15.75" customHeight="1">
      <c r="B167" s="1" t="s">
        <v>168</v>
      </c>
      <c r="M167" s="1" t="s">
        <v>154</v>
      </c>
      <c r="O167" s="1" t="s">
        <v>169</v>
      </c>
    </row>
    <row r="168" ht="15.75" customHeight="1">
      <c r="A168" s="147" t="s">
        <v>136</v>
      </c>
      <c r="B168" s="148" t="s">
        <v>137</v>
      </c>
      <c r="C168" s="149" t="s">
        <v>138</v>
      </c>
      <c r="D168" s="150" t="s">
        <v>139</v>
      </c>
      <c r="E168" s="151" t="s">
        <v>140</v>
      </c>
      <c r="F168" s="152" t="s">
        <v>141</v>
      </c>
      <c r="G168" s="153" t="s">
        <v>140</v>
      </c>
      <c r="H168" s="154" t="s">
        <v>142</v>
      </c>
      <c r="I168" s="155" t="s">
        <v>140</v>
      </c>
      <c r="J168" s="182" t="s">
        <v>151</v>
      </c>
      <c r="K168" s="183" t="s">
        <v>152</v>
      </c>
      <c r="L168" s="184" t="s">
        <v>153</v>
      </c>
      <c r="M168" s="6">
        <v>500.0</v>
      </c>
    </row>
    <row r="169" ht="15.75" customHeight="1">
      <c r="A169" s="156" t="s">
        <v>155</v>
      </c>
      <c r="B169" s="185" t="s">
        <v>170</v>
      </c>
      <c r="C169" s="186">
        <v>3000.0</v>
      </c>
      <c r="D169" s="159">
        <f t="shared" ref="D169:D172" si="61">$C169/D$3</f>
        <v>120</v>
      </c>
      <c r="E169" s="160">
        <v>100.0</v>
      </c>
      <c r="F169" s="159">
        <f t="shared" ref="F169:F172" si="62">$C169/F$3</f>
        <v>171.4285714</v>
      </c>
      <c r="G169" s="160">
        <v>140.0</v>
      </c>
      <c r="H169" s="159">
        <f t="shared" ref="H169:H172" si="63">$C169/H$3</f>
        <v>200</v>
      </c>
      <c r="I169" s="161">
        <v>165.0</v>
      </c>
      <c r="J169" s="159" t="s">
        <v>157</v>
      </c>
      <c r="K169" s="187">
        <v>110.0</v>
      </c>
      <c r="L169" s="192">
        <v>51.5</v>
      </c>
      <c r="M169" s="1" t="s">
        <v>158</v>
      </c>
    </row>
    <row r="170" ht="15.75" customHeight="1">
      <c r="A170" s="193"/>
      <c r="B170" s="162"/>
      <c r="C170" s="188">
        <v>2500.0</v>
      </c>
      <c r="D170" s="165">
        <f t="shared" si="61"/>
        <v>100</v>
      </c>
      <c r="E170" s="166">
        <v>80.0</v>
      </c>
      <c r="F170" s="165">
        <f t="shared" si="62"/>
        <v>142.8571429</v>
      </c>
      <c r="G170" s="166">
        <v>110.0</v>
      </c>
      <c r="H170" s="165">
        <f t="shared" si="63"/>
        <v>166.6666667</v>
      </c>
      <c r="I170" s="167">
        <v>130.0</v>
      </c>
      <c r="J170" s="159" t="s">
        <v>157</v>
      </c>
      <c r="K170" s="189" t="s">
        <v>157</v>
      </c>
      <c r="L170" s="189" t="s">
        <v>157</v>
      </c>
      <c r="M170" s="1" t="s">
        <v>159</v>
      </c>
    </row>
    <row r="171" ht="15.75" customHeight="1">
      <c r="A171" s="193"/>
      <c r="B171" s="162"/>
      <c r="C171" s="190">
        <v>2200.0</v>
      </c>
      <c r="D171" s="165">
        <f t="shared" si="61"/>
        <v>88</v>
      </c>
      <c r="E171" s="166">
        <v>70.0</v>
      </c>
      <c r="F171" s="165">
        <f t="shared" si="62"/>
        <v>125.7142857</v>
      </c>
      <c r="G171" s="166">
        <v>95.0</v>
      </c>
      <c r="H171" s="165">
        <f t="shared" si="63"/>
        <v>146.6666667</v>
      </c>
      <c r="I171" s="167">
        <v>115.0</v>
      </c>
      <c r="J171" s="187">
        <v>40.0</v>
      </c>
      <c r="K171" s="189" t="s">
        <v>157</v>
      </c>
      <c r="L171" s="189" t="s">
        <v>157</v>
      </c>
      <c r="M171" s="1" t="s">
        <v>160</v>
      </c>
    </row>
    <row r="172" ht="15.75" customHeight="1">
      <c r="A172" s="194"/>
      <c r="B172" s="174"/>
      <c r="C172" s="191">
        <v>1600.0</v>
      </c>
      <c r="D172" s="171">
        <f t="shared" si="61"/>
        <v>64</v>
      </c>
      <c r="E172" s="172">
        <v>44.0</v>
      </c>
      <c r="F172" s="171">
        <f t="shared" si="62"/>
        <v>91.42857143</v>
      </c>
      <c r="G172" s="172">
        <v>60.0</v>
      </c>
      <c r="H172" s="171">
        <f t="shared" si="63"/>
        <v>106.6666667</v>
      </c>
      <c r="I172" s="173">
        <v>70.0</v>
      </c>
      <c r="J172" s="189" t="s">
        <v>157</v>
      </c>
      <c r="K172" s="189" t="s">
        <v>157</v>
      </c>
      <c r="L172" s="189" t="s">
        <v>157</v>
      </c>
      <c r="M172" s="1" t="s">
        <v>162</v>
      </c>
    </row>
    <row r="173" ht="15.75" customHeight="1"/>
    <row r="174" ht="15.75" customHeight="1">
      <c r="A174" s="147" t="s">
        <v>136</v>
      </c>
      <c r="B174" s="148" t="s">
        <v>137</v>
      </c>
      <c r="C174" s="149" t="s">
        <v>138</v>
      </c>
      <c r="D174" s="150" t="s">
        <v>139</v>
      </c>
      <c r="E174" s="151" t="s">
        <v>140</v>
      </c>
      <c r="F174" s="152" t="s">
        <v>141</v>
      </c>
      <c r="G174" s="153" t="s">
        <v>140</v>
      </c>
      <c r="H174" s="154" t="s">
        <v>142</v>
      </c>
      <c r="I174" s="155" t="s">
        <v>140</v>
      </c>
      <c r="J174" s="182" t="s">
        <v>151</v>
      </c>
      <c r="K174" s="183" t="s">
        <v>152</v>
      </c>
      <c r="L174" s="184" t="s">
        <v>153</v>
      </c>
      <c r="O174" s="1" t="s">
        <v>154</v>
      </c>
    </row>
    <row r="175" ht="15.75" customHeight="1">
      <c r="A175" s="156" t="s">
        <v>155</v>
      </c>
      <c r="B175" s="185" t="s">
        <v>171</v>
      </c>
      <c r="C175" s="186">
        <v>4500.0</v>
      </c>
      <c r="D175" s="159">
        <f t="shared" ref="D175:D178" si="64">$C175/D$3</f>
        <v>180</v>
      </c>
      <c r="E175" s="160">
        <v>160.0</v>
      </c>
      <c r="F175" s="159">
        <f t="shared" ref="F175:F178" si="65">$C175/F$3</f>
        <v>257.1428571</v>
      </c>
      <c r="G175" s="160">
        <v>225.0</v>
      </c>
      <c r="H175" s="159">
        <f t="shared" ref="H175:H178" si="66">$C175/H$3</f>
        <v>300</v>
      </c>
      <c r="I175" s="161">
        <v>165.0</v>
      </c>
      <c r="J175" s="187">
        <v>100.0</v>
      </c>
      <c r="K175" s="187">
        <v>150.0</v>
      </c>
      <c r="L175" s="189" t="s">
        <v>157</v>
      </c>
      <c r="O175" s="6">
        <v>500.0</v>
      </c>
    </row>
    <row r="176" ht="15.75" customHeight="1">
      <c r="A176" s="162"/>
      <c r="B176" s="162"/>
      <c r="C176" s="188">
        <v>3500.0</v>
      </c>
      <c r="D176" s="165">
        <f t="shared" si="64"/>
        <v>140</v>
      </c>
      <c r="E176" s="166">
        <v>120.0</v>
      </c>
      <c r="F176" s="165">
        <f t="shared" si="65"/>
        <v>200</v>
      </c>
      <c r="G176" s="166">
        <v>170.0</v>
      </c>
      <c r="H176" s="165">
        <f t="shared" si="66"/>
        <v>233.3333333</v>
      </c>
      <c r="I176" s="167">
        <v>130.0</v>
      </c>
      <c r="J176" s="159" t="s">
        <v>157</v>
      </c>
      <c r="K176" s="189" t="s">
        <v>157</v>
      </c>
      <c r="L176" s="187">
        <v>42.5</v>
      </c>
      <c r="O176" s="1" t="s">
        <v>158</v>
      </c>
    </row>
    <row r="177" ht="15.75" customHeight="1">
      <c r="A177" s="162"/>
      <c r="B177" s="162"/>
      <c r="C177" s="190">
        <v>3000.0</v>
      </c>
      <c r="D177" s="165">
        <f t="shared" si="64"/>
        <v>120</v>
      </c>
      <c r="E177" s="166">
        <v>100.0</v>
      </c>
      <c r="F177" s="165">
        <f t="shared" si="65"/>
        <v>171.4285714</v>
      </c>
      <c r="G177" s="166">
        <v>140.0</v>
      </c>
      <c r="H177" s="165">
        <f t="shared" si="66"/>
        <v>200</v>
      </c>
      <c r="I177" s="167">
        <v>115.0</v>
      </c>
      <c r="J177" s="189" t="s">
        <v>157</v>
      </c>
      <c r="K177" s="189" t="s">
        <v>157</v>
      </c>
      <c r="L177" s="189" t="s">
        <v>157</v>
      </c>
      <c r="O177" s="1" t="s">
        <v>159</v>
      </c>
    </row>
    <row r="178" ht="15.75" customHeight="1">
      <c r="A178" s="174"/>
      <c r="B178" s="174"/>
      <c r="C178" s="191">
        <v>2000.0</v>
      </c>
      <c r="D178" s="171">
        <f t="shared" si="64"/>
        <v>80</v>
      </c>
      <c r="E178" s="172">
        <v>60.0</v>
      </c>
      <c r="F178" s="171">
        <f t="shared" si="65"/>
        <v>114.2857143</v>
      </c>
      <c r="G178" s="172">
        <v>80.0</v>
      </c>
      <c r="H178" s="171">
        <f t="shared" si="66"/>
        <v>133.3333333</v>
      </c>
      <c r="I178" s="173">
        <v>70.0</v>
      </c>
      <c r="J178" s="189" t="s">
        <v>157</v>
      </c>
      <c r="K178" s="189" t="s">
        <v>157</v>
      </c>
      <c r="L178" s="187">
        <v>21.25</v>
      </c>
      <c r="O178" s="1" t="s">
        <v>160</v>
      </c>
    </row>
    <row r="179" ht="15.75" customHeight="1">
      <c r="O179" s="1" t="s">
        <v>162</v>
      </c>
    </row>
    <row r="180" ht="15.75" customHeight="1">
      <c r="A180" s="147" t="s">
        <v>136</v>
      </c>
      <c r="B180" s="148" t="s">
        <v>137</v>
      </c>
      <c r="C180" s="149" t="s">
        <v>138</v>
      </c>
      <c r="D180" s="150" t="s">
        <v>139</v>
      </c>
      <c r="E180" s="151" t="s">
        <v>140</v>
      </c>
      <c r="F180" s="152" t="s">
        <v>141</v>
      </c>
      <c r="G180" s="153" t="s">
        <v>140</v>
      </c>
      <c r="H180" s="154" t="s">
        <v>142</v>
      </c>
      <c r="I180" s="155" t="s">
        <v>140</v>
      </c>
      <c r="J180" s="182" t="s">
        <v>151</v>
      </c>
      <c r="K180" s="183" t="s">
        <v>152</v>
      </c>
      <c r="L180" s="184" t="s">
        <v>153</v>
      </c>
      <c r="N180" s="1" t="s">
        <v>154</v>
      </c>
    </row>
    <row r="181" ht="15.75" customHeight="1">
      <c r="A181" s="156" t="s">
        <v>155</v>
      </c>
      <c r="B181" s="185" t="s">
        <v>172</v>
      </c>
      <c r="C181" s="186">
        <v>5000.0</v>
      </c>
      <c r="D181" s="159">
        <f t="shared" ref="D181:D184" si="67">$C181/D$3</f>
        <v>200</v>
      </c>
      <c r="E181" s="160">
        <v>185.0</v>
      </c>
      <c r="F181" s="159">
        <f t="shared" ref="F181:F184" si="68">$C181/F$3</f>
        <v>285.7142857</v>
      </c>
      <c r="G181" s="160">
        <v>260.0</v>
      </c>
      <c r="H181" s="159">
        <f t="shared" ref="H181:H184" si="69">$C181/H$3</f>
        <v>333.3333333</v>
      </c>
      <c r="I181" s="161">
        <v>305.0</v>
      </c>
      <c r="J181" s="159" t="s">
        <v>157</v>
      </c>
      <c r="K181" s="159" t="s">
        <v>157</v>
      </c>
      <c r="L181" s="189" t="s">
        <v>157</v>
      </c>
      <c r="N181" s="6">
        <v>300.0</v>
      </c>
    </row>
    <row r="182" ht="15.75" customHeight="1">
      <c r="A182" s="162"/>
      <c r="B182" s="162"/>
      <c r="C182" s="188">
        <v>4500.0</v>
      </c>
      <c r="D182" s="165">
        <f t="shared" si="67"/>
        <v>180</v>
      </c>
      <c r="E182" s="166">
        <v>165.0</v>
      </c>
      <c r="F182" s="165">
        <f t="shared" si="68"/>
        <v>257.1428571</v>
      </c>
      <c r="G182" s="166">
        <v>225.0</v>
      </c>
      <c r="H182" s="165">
        <f t="shared" si="69"/>
        <v>300</v>
      </c>
      <c r="I182" s="167">
        <v>270.0</v>
      </c>
      <c r="J182" s="189" t="s">
        <v>157</v>
      </c>
      <c r="K182" s="187">
        <v>120.0</v>
      </c>
      <c r="L182" s="192">
        <v>51.5</v>
      </c>
      <c r="N182" s="1" t="s">
        <v>158</v>
      </c>
    </row>
    <row r="183" ht="15.75" customHeight="1">
      <c r="A183" s="162"/>
      <c r="B183" s="162"/>
      <c r="C183" s="190">
        <v>3500.0</v>
      </c>
      <c r="D183" s="165">
        <f t="shared" si="67"/>
        <v>140</v>
      </c>
      <c r="E183" s="166">
        <v>125.0</v>
      </c>
      <c r="F183" s="165">
        <f t="shared" si="68"/>
        <v>200</v>
      </c>
      <c r="G183" s="166">
        <v>170.0</v>
      </c>
      <c r="H183" s="165">
        <f t="shared" si="69"/>
        <v>233.3333333</v>
      </c>
      <c r="I183" s="167">
        <v>200.0</v>
      </c>
      <c r="J183" s="189" t="s">
        <v>157</v>
      </c>
      <c r="K183" s="189" t="s">
        <v>157</v>
      </c>
      <c r="L183" s="189" t="s">
        <v>157</v>
      </c>
      <c r="N183" s="1" t="s">
        <v>173</v>
      </c>
    </row>
    <row r="184" ht="15.75" customHeight="1">
      <c r="A184" s="174"/>
      <c r="B184" s="174"/>
      <c r="C184" s="191">
        <v>2200.0</v>
      </c>
      <c r="D184" s="171">
        <f t="shared" si="67"/>
        <v>88</v>
      </c>
      <c r="E184" s="172">
        <v>70.0</v>
      </c>
      <c r="F184" s="171">
        <f t="shared" si="68"/>
        <v>125.7142857</v>
      </c>
      <c r="G184" s="172">
        <v>95.0</v>
      </c>
      <c r="H184" s="171">
        <f t="shared" si="69"/>
        <v>146.6666667</v>
      </c>
      <c r="I184" s="173">
        <v>115.0</v>
      </c>
      <c r="J184" s="189" t="s">
        <v>157</v>
      </c>
      <c r="K184" s="189" t="s">
        <v>157</v>
      </c>
      <c r="L184" s="189" t="s">
        <v>157</v>
      </c>
      <c r="N184" s="1" t="s">
        <v>165</v>
      </c>
    </row>
    <row r="185" ht="15.75" customHeight="1">
      <c r="B185" s="1" t="s">
        <v>174</v>
      </c>
      <c r="N185" s="1" t="s">
        <v>166</v>
      </c>
    </row>
    <row r="186" ht="15.75" customHeight="1">
      <c r="A186" s="147" t="s">
        <v>136</v>
      </c>
      <c r="B186" s="148" t="s">
        <v>137</v>
      </c>
      <c r="C186" s="149" t="s">
        <v>138</v>
      </c>
      <c r="D186" s="150" t="s">
        <v>139</v>
      </c>
      <c r="E186" s="151" t="s">
        <v>140</v>
      </c>
      <c r="F186" s="152" t="s">
        <v>141</v>
      </c>
      <c r="G186" s="153" t="s">
        <v>140</v>
      </c>
      <c r="H186" s="154" t="s">
        <v>142</v>
      </c>
      <c r="I186" s="155" t="s">
        <v>140</v>
      </c>
      <c r="J186" s="182" t="s">
        <v>151</v>
      </c>
      <c r="K186" s="183" t="s">
        <v>152</v>
      </c>
      <c r="L186" s="184" t="s">
        <v>153</v>
      </c>
      <c r="N186" s="1" t="s">
        <v>154</v>
      </c>
    </row>
    <row r="187" ht="15.75" customHeight="1">
      <c r="A187" s="156" t="s">
        <v>155</v>
      </c>
      <c r="B187" s="185" t="s">
        <v>175</v>
      </c>
      <c r="C187" s="186">
        <v>6500.0</v>
      </c>
      <c r="D187" s="159">
        <f t="shared" ref="D187:D190" si="70">$C187/D$3</f>
        <v>260</v>
      </c>
      <c r="E187" s="160">
        <v>240.0</v>
      </c>
      <c r="F187" s="159">
        <f t="shared" ref="F187:F190" si="71">$C187/F$3</f>
        <v>371.4285714</v>
      </c>
      <c r="G187" s="160">
        <v>340.0</v>
      </c>
      <c r="H187" s="159">
        <f t="shared" ref="H187:H190" si="72">$C187/H$3</f>
        <v>433.3333333</v>
      </c>
      <c r="I187" s="161">
        <v>400.0</v>
      </c>
      <c r="J187" s="159" t="s">
        <v>157</v>
      </c>
      <c r="K187" s="159" t="s">
        <v>157</v>
      </c>
      <c r="L187" s="189" t="s">
        <v>157</v>
      </c>
      <c r="N187" s="6">
        <v>500.0</v>
      </c>
    </row>
    <row r="188" ht="15.75" customHeight="1">
      <c r="A188" s="162"/>
      <c r="B188" s="162"/>
      <c r="C188" s="188">
        <v>5500.0</v>
      </c>
      <c r="D188" s="165">
        <f t="shared" si="70"/>
        <v>220</v>
      </c>
      <c r="E188" s="166">
        <v>200.0</v>
      </c>
      <c r="F188" s="165">
        <f t="shared" si="71"/>
        <v>314.2857143</v>
      </c>
      <c r="G188" s="166">
        <v>280.0</v>
      </c>
      <c r="H188" s="165">
        <f t="shared" si="72"/>
        <v>366.6666667</v>
      </c>
      <c r="I188" s="167">
        <v>330.0</v>
      </c>
      <c r="J188" s="159" t="s">
        <v>157</v>
      </c>
      <c r="K188" s="187">
        <v>160.0</v>
      </c>
      <c r="L188" s="189" t="s">
        <v>157</v>
      </c>
      <c r="N188" s="1" t="s">
        <v>158</v>
      </c>
    </row>
    <row r="189" ht="15.75" customHeight="1">
      <c r="A189" s="162"/>
      <c r="B189" s="162"/>
      <c r="C189" s="190">
        <v>4500.0</v>
      </c>
      <c r="D189" s="165">
        <f t="shared" si="70"/>
        <v>180</v>
      </c>
      <c r="E189" s="166">
        <v>160.0</v>
      </c>
      <c r="F189" s="165">
        <f t="shared" si="71"/>
        <v>257.1428571</v>
      </c>
      <c r="G189" s="166">
        <v>225.0</v>
      </c>
      <c r="H189" s="165">
        <f t="shared" si="72"/>
        <v>300</v>
      </c>
      <c r="I189" s="167">
        <v>265.0</v>
      </c>
      <c r="J189" s="189" t="s">
        <v>157</v>
      </c>
      <c r="K189" s="189" t="s">
        <v>157</v>
      </c>
      <c r="L189" s="189" t="s">
        <v>157</v>
      </c>
      <c r="N189" s="1" t="s">
        <v>159</v>
      </c>
    </row>
    <row r="190" ht="15.75" customHeight="1">
      <c r="A190" s="174"/>
      <c r="B190" s="174"/>
      <c r="C190" s="191">
        <v>3000.0</v>
      </c>
      <c r="D190" s="171">
        <f t="shared" si="70"/>
        <v>120</v>
      </c>
      <c r="E190" s="172">
        <v>100.0</v>
      </c>
      <c r="F190" s="171">
        <f t="shared" si="71"/>
        <v>171.4285714</v>
      </c>
      <c r="G190" s="172">
        <v>140.0</v>
      </c>
      <c r="H190" s="171">
        <f t="shared" si="72"/>
        <v>200</v>
      </c>
      <c r="I190" s="173">
        <v>165.0</v>
      </c>
      <c r="J190" s="189" t="s">
        <v>157</v>
      </c>
      <c r="K190" s="189" t="s">
        <v>157</v>
      </c>
      <c r="L190" s="189" t="s">
        <v>157</v>
      </c>
      <c r="N190" s="1" t="s">
        <v>160</v>
      </c>
    </row>
    <row r="191" ht="15.75" customHeight="1">
      <c r="N191" s="1" t="s">
        <v>162</v>
      </c>
    </row>
    <row r="192" ht="15.75" customHeight="1">
      <c r="A192" s="147" t="s">
        <v>136</v>
      </c>
      <c r="B192" s="148" t="s">
        <v>137</v>
      </c>
      <c r="C192" s="149" t="s">
        <v>138</v>
      </c>
      <c r="D192" s="150" t="s">
        <v>139</v>
      </c>
      <c r="E192" s="151" t="s">
        <v>140</v>
      </c>
      <c r="F192" s="152" t="s">
        <v>141</v>
      </c>
      <c r="G192" s="153" t="s">
        <v>140</v>
      </c>
      <c r="H192" s="154" t="s">
        <v>142</v>
      </c>
      <c r="I192" s="155" t="s">
        <v>140</v>
      </c>
      <c r="J192" s="182" t="s">
        <v>151</v>
      </c>
      <c r="K192" s="183" t="s">
        <v>152</v>
      </c>
      <c r="L192" s="184" t="s">
        <v>153</v>
      </c>
      <c r="N192" s="1" t="s">
        <v>154</v>
      </c>
    </row>
    <row r="193" ht="15.75" customHeight="1">
      <c r="A193" s="156" t="s">
        <v>155</v>
      </c>
      <c r="B193" s="185" t="s">
        <v>176</v>
      </c>
      <c r="C193" s="186">
        <v>8000.0</v>
      </c>
      <c r="D193" s="159">
        <f t="shared" ref="D193:D196" si="73">$C193/D$3</f>
        <v>320</v>
      </c>
      <c r="E193" s="160">
        <v>295.0</v>
      </c>
      <c r="F193" s="159">
        <f t="shared" ref="F193:F196" si="74">$C193/F$3</f>
        <v>457.1428571</v>
      </c>
      <c r="G193" s="160">
        <v>415.0</v>
      </c>
      <c r="H193" s="159">
        <f t="shared" ref="H193:H196" si="75">$C193/H$3</f>
        <v>533.3333333</v>
      </c>
      <c r="I193" s="161">
        <v>490.0</v>
      </c>
      <c r="J193" s="189" t="s">
        <v>157</v>
      </c>
      <c r="K193" s="159" t="s">
        <v>157</v>
      </c>
      <c r="L193" s="189" t="s">
        <v>157</v>
      </c>
      <c r="N193" s="6">
        <v>700.0</v>
      </c>
    </row>
    <row r="194" ht="15.75" customHeight="1">
      <c r="A194" s="162"/>
      <c r="B194" s="162"/>
      <c r="C194" s="188">
        <v>6500.0</v>
      </c>
      <c r="D194" s="165">
        <f t="shared" si="73"/>
        <v>260</v>
      </c>
      <c r="E194" s="166">
        <v>235.0</v>
      </c>
      <c r="F194" s="165">
        <f t="shared" si="74"/>
        <v>371.4285714</v>
      </c>
      <c r="G194" s="166">
        <v>330.0</v>
      </c>
      <c r="H194" s="165">
        <f t="shared" si="75"/>
        <v>433.3333333</v>
      </c>
      <c r="I194" s="167">
        <v>390.0</v>
      </c>
      <c r="J194" s="189" t="s">
        <v>157</v>
      </c>
      <c r="K194" s="189" t="s">
        <v>157</v>
      </c>
      <c r="L194" s="189" t="s">
        <v>157</v>
      </c>
      <c r="N194" s="1" t="s">
        <v>158</v>
      </c>
    </row>
    <row r="195" ht="15.75" customHeight="1">
      <c r="A195" s="162"/>
      <c r="B195" s="162"/>
      <c r="C195" s="190">
        <v>5500.0</v>
      </c>
      <c r="D195" s="165">
        <f t="shared" si="73"/>
        <v>220</v>
      </c>
      <c r="E195" s="166">
        <v>195.0</v>
      </c>
      <c r="F195" s="165">
        <f t="shared" si="74"/>
        <v>314.2857143</v>
      </c>
      <c r="G195" s="166">
        <v>275.0</v>
      </c>
      <c r="H195" s="165">
        <f t="shared" si="75"/>
        <v>366.6666667</v>
      </c>
      <c r="I195" s="167">
        <v>320.0</v>
      </c>
      <c r="J195" s="189" t="s">
        <v>157</v>
      </c>
      <c r="K195" s="187">
        <v>160.0</v>
      </c>
      <c r="L195" s="189" t="s">
        <v>157</v>
      </c>
      <c r="N195" s="1" t="s">
        <v>177</v>
      </c>
    </row>
    <row r="196" ht="15.75" customHeight="1">
      <c r="A196" s="174"/>
      <c r="B196" s="174"/>
      <c r="C196" s="191">
        <v>4000.0</v>
      </c>
      <c r="D196" s="171">
        <f t="shared" si="73"/>
        <v>160</v>
      </c>
      <c r="E196" s="172">
        <v>135.0</v>
      </c>
      <c r="F196" s="171">
        <f t="shared" si="74"/>
        <v>228.5714286</v>
      </c>
      <c r="G196" s="172">
        <v>190.0</v>
      </c>
      <c r="H196" s="171">
        <f t="shared" si="75"/>
        <v>266.6666667</v>
      </c>
      <c r="I196" s="173">
        <v>220.0</v>
      </c>
      <c r="J196" s="189" t="s">
        <v>157</v>
      </c>
      <c r="K196" s="189" t="s">
        <v>157</v>
      </c>
      <c r="L196" s="189" t="s">
        <v>157</v>
      </c>
      <c r="N196" s="1" t="s">
        <v>178</v>
      </c>
    </row>
    <row r="197" ht="15.75" customHeight="1">
      <c r="N197" s="1" t="s">
        <v>179</v>
      </c>
    </row>
    <row r="198" ht="15.75" customHeight="1"/>
    <row r="199" ht="15.75" customHeight="1"/>
    <row r="200" ht="15.75" customHeight="1">
      <c r="A200" s="1" t="s">
        <v>180</v>
      </c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5:A24"/>
    <mergeCell ref="L14:M14"/>
    <mergeCell ref="A27:A46"/>
    <mergeCell ref="A50:A69"/>
    <mergeCell ref="A72:A91"/>
    <mergeCell ref="A96:A115"/>
    <mergeCell ref="A118:A137"/>
    <mergeCell ref="A175:A178"/>
    <mergeCell ref="B175:B178"/>
    <mergeCell ref="A181:A184"/>
    <mergeCell ref="B181:B184"/>
    <mergeCell ref="A187:A190"/>
    <mergeCell ref="B187:B190"/>
    <mergeCell ref="A193:A196"/>
    <mergeCell ref="B193:B196"/>
    <mergeCell ref="A147:A150"/>
    <mergeCell ref="B147:B150"/>
    <mergeCell ref="A155:A158"/>
    <mergeCell ref="B155:B158"/>
    <mergeCell ref="A163:A166"/>
    <mergeCell ref="B163:B166"/>
    <mergeCell ref="B169:B17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10.13"/>
    <col customWidth="1" min="3" max="3" width="26.0"/>
    <col customWidth="1" min="4" max="4" width="8.75"/>
    <col customWidth="1" min="5" max="5" width="8.5"/>
    <col customWidth="1" min="6" max="6" width="3.75"/>
    <col customWidth="1" min="7" max="7" width="11.38"/>
    <col customWidth="1" min="8" max="8" width="7.88"/>
    <col customWidth="1" min="9" max="9" width="37.0"/>
    <col customWidth="1" min="10" max="10" width="9.88"/>
    <col customWidth="1" min="12" max="12" width="9.25"/>
    <col customWidth="1" min="13" max="13" width="7.75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>
      <c r="B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</row>
    <row r="4" ht="15.75" customHeight="1">
      <c r="B4" s="48"/>
      <c r="C4" s="48"/>
      <c r="D4" s="48"/>
      <c r="E4" s="50"/>
      <c r="F4" s="50"/>
      <c r="G4" s="8"/>
      <c r="H4" s="8"/>
      <c r="I4" s="20" t="s">
        <v>181</v>
      </c>
      <c r="J4" s="16">
        <v>6000.0</v>
      </c>
      <c r="K4" s="51"/>
    </row>
    <row r="5" ht="15.75" customHeight="1">
      <c r="A5" s="20" t="s">
        <v>20</v>
      </c>
      <c r="B5" s="17">
        <f>IFERROR(__xludf.DUMMYFUNCTION("GOOGLEFINANCE(""USDBRL"")"),5.16)</f>
        <v>5.16</v>
      </c>
      <c r="E5" s="8"/>
      <c r="F5" s="8"/>
      <c r="G5" s="8"/>
      <c r="H5" s="8"/>
      <c r="I5" s="20" t="s">
        <v>182</v>
      </c>
      <c r="J5" s="135">
        <v>1.0</v>
      </c>
      <c r="K5" s="66"/>
      <c r="L5" s="8"/>
      <c r="M5" s="8"/>
      <c r="N5" s="8"/>
      <c r="O5" s="8"/>
    </row>
    <row r="6" ht="15.75" customHeight="1">
      <c r="A6" s="20" t="s">
        <v>14</v>
      </c>
      <c r="B6" s="16">
        <v>20.0</v>
      </c>
      <c r="E6" s="8"/>
      <c r="F6" s="8"/>
      <c r="G6" s="8"/>
      <c r="H6" s="8"/>
      <c r="I6" s="20" t="s">
        <v>183</v>
      </c>
      <c r="J6" s="71">
        <f>(1+B10)^J5-1+B9+B8/J4</f>
        <v>0.008132</v>
      </c>
      <c r="K6" s="66"/>
      <c r="L6" s="8"/>
      <c r="M6" s="8"/>
      <c r="N6" s="8"/>
      <c r="O6" s="8"/>
    </row>
    <row r="7" ht="15.75" customHeight="1">
      <c r="B7" s="6"/>
      <c r="E7" s="8"/>
      <c r="F7" s="8"/>
      <c r="G7" s="8"/>
      <c r="H7" s="8"/>
      <c r="I7" s="8"/>
      <c r="J7" s="8"/>
      <c r="K7" s="195"/>
      <c r="L7" s="49"/>
      <c r="M7" s="8"/>
      <c r="N7" s="8"/>
      <c r="O7" s="8"/>
    </row>
    <row r="8" ht="15.75" customHeight="1">
      <c r="A8" s="20" t="s">
        <v>184</v>
      </c>
      <c r="B8" s="16">
        <f>25.5</f>
        <v>25.5</v>
      </c>
      <c r="E8" s="47"/>
      <c r="G8" s="1"/>
      <c r="H8" s="1"/>
      <c r="I8" s="1"/>
      <c r="J8" s="1"/>
      <c r="K8" s="195"/>
      <c r="L8" s="49"/>
      <c r="M8" s="32"/>
      <c r="N8" s="8"/>
      <c r="O8" s="8"/>
    </row>
    <row r="9" ht="15.75" customHeight="1">
      <c r="A9" s="20" t="s">
        <v>185</v>
      </c>
      <c r="B9" s="75">
        <v>0.0038</v>
      </c>
      <c r="E9" s="47"/>
      <c r="G9" s="1"/>
      <c r="H9" s="1"/>
      <c r="I9" s="1"/>
      <c r="J9" s="1"/>
      <c r="K9" s="32"/>
      <c r="L9" s="8"/>
      <c r="M9" s="8"/>
      <c r="N9" s="8"/>
      <c r="O9" s="8"/>
    </row>
    <row r="10" ht="15.75" customHeight="1">
      <c r="A10" s="42" t="s">
        <v>186</v>
      </c>
      <c r="B10" s="196">
        <v>8.2E-5</v>
      </c>
      <c r="D10" s="47"/>
      <c r="E10" s="47"/>
      <c r="F10" s="47"/>
      <c r="G10" s="1"/>
      <c r="H10" s="1"/>
      <c r="I10" s="1"/>
      <c r="J10" s="1"/>
      <c r="K10" s="51"/>
      <c r="L10" s="58"/>
      <c r="M10" s="51"/>
      <c r="N10" s="58"/>
      <c r="O10" s="51"/>
    </row>
    <row r="11" ht="15.75" customHeight="1">
      <c r="D11" s="47"/>
      <c r="E11" s="47"/>
      <c r="F11" s="197"/>
      <c r="K11" s="51"/>
      <c r="L11" s="32"/>
      <c r="M11" s="51"/>
      <c r="N11" s="58"/>
      <c r="O11" s="8"/>
    </row>
    <row r="12" ht="15.75" customHeight="1">
      <c r="G12" s="47"/>
      <c r="H12" s="47"/>
      <c r="I12" s="65"/>
      <c r="K12" s="66"/>
      <c r="L12" s="32"/>
      <c r="M12" s="8"/>
      <c r="N12" s="8"/>
      <c r="O12" s="8"/>
    </row>
    <row r="13" ht="15.75" customHeight="1">
      <c r="A13" s="52" t="s">
        <v>187</v>
      </c>
      <c r="B13" s="8"/>
      <c r="E13" s="47"/>
      <c r="F13" s="47"/>
      <c r="G13" s="47"/>
      <c r="H13" s="47"/>
      <c r="I13" s="47"/>
      <c r="K13" s="66"/>
      <c r="L13" s="8"/>
      <c r="M13" s="8"/>
      <c r="N13" s="32"/>
      <c r="O13" s="8"/>
    </row>
    <row r="14" ht="15.75" customHeight="1">
      <c r="A14" s="54" t="s">
        <v>48</v>
      </c>
      <c r="B14" s="198">
        <v>3.0</v>
      </c>
      <c r="C14" s="47"/>
      <c r="E14" s="47"/>
      <c r="F14" s="47"/>
      <c r="G14" s="47"/>
      <c r="H14" s="47"/>
      <c r="I14" s="47"/>
      <c r="K14" s="66"/>
      <c r="L14" s="8"/>
      <c r="M14" s="8"/>
      <c r="N14" s="32"/>
      <c r="O14" s="8"/>
    </row>
    <row r="15" ht="15.75" customHeight="1">
      <c r="A15" s="54" t="s">
        <v>50</v>
      </c>
      <c r="B15" s="57">
        <f>B14/$B$5</f>
        <v>0.5813953488</v>
      </c>
      <c r="C15" s="47"/>
      <c r="E15" s="47"/>
      <c r="F15" s="47"/>
      <c r="G15" s="47"/>
      <c r="H15" s="47"/>
      <c r="I15" s="47"/>
      <c r="N15" s="1"/>
    </row>
    <row r="16" ht="15.75" customHeight="1">
      <c r="A16" s="59" t="s">
        <v>51</v>
      </c>
      <c r="B16" s="60">
        <v>1.0</v>
      </c>
      <c r="C16" s="47"/>
      <c r="D16" s="47"/>
      <c r="E16" s="47"/>
      <c r="F16" s="47"/>
      <c r="G16" s="47"/>
      <c r="H16" s="47"/>
      <c r="I16" s="47"/>
    </row>
    <row r="17" ht="15.75" customHeight="1">
      <c r="A17" s="62" t="s">
        <v>52</v>
      </c>
      <c r="B17" s="63">
        <f>B15*(1+$B$16)</f>
        <v>1.162790698</v>
      </c>
      <c r="C17" s="47"/>
      <c r="D17" s="47"/>
      <c r="E17" s="47"/>
      <c r="F17" s="47"/>
      <c r="G17" s="47"/>
      <c r="H17" s="47"/>
      <c r="I17" s="47"/>
      <c r="J17" s="74"/>
    </row>
    <row r="18" ht="15.75" customHeight="1">
      <c r="A18" s="59" t="s">
        <v>188</v>
      </c>
      <c r="B18" s="64">
        <f>J4</f>
        <v>6000</v>
      </c>
      <c r="D18" s="47"/>
      <c r="E18" s="47"/>
      <c r="F18" s="47"/>
      <c r="G18" s="65"/>
      <c r="H18" s="47"/>
      <c r="I18" s="47"/>
      <c r="J18" s="47"/>
    </row>
    <row r="19" ht="15.75" customHeight="1">
      <c r="A19" s="59" t="s">
        <v>189</v>
      </c>
      <c r="B19" s="68">
        <f>$B$18*B17/1000</f>
        <v>6.976744186</v>
      </c>
      <c r="D19" s="47"/>
      <c r="E19" s="47"/>
      <c r="F19" s="47"/>
      <c r="G19" s="47"/>
      <c r="H19" s="47"/>
      <c r="I19" s="47"/>
      <c r="J19" s="47"/>
    </row>
    <row r="20" ht="15.75" customHeight="1">
      <c r="A20" s="69" t="s">
        <v>55</v>
      </c>
      <c r="B20" s="70">
        <f>B19*$B$6</f>
        <v>139.5348837</v>
      </c>
      <c r="D20" s="47"/>
      <c r="E20" s="47"/>
      <c r="F20" s="78"/>
      <c r="G20" s="78"/>
      <c r="H20" s="78"/>
      <c r="I20" s="65"/>
      <c r="J20" s="47"/>
    </row>
    <row r="21" ht="15.75" customHeight="1">
      <c r="A21" s="59" t="s">
        <v>56</v>
      </c>
      <c r="B21" s="199">
        <f>B20/$B$18</f>
        <v>0.02325581395</v>
      </c>
      <c r="C21" s="72"/>
      <c r="D21" s="78"/>
      <c r="E21" s="65"/>
      <c r="F21" s="78"/>
      <c r="G21" s="86"/>
      <c r="H21" s="87"/>
      <c r="I21" s="47"/>
      <c r="J21" s="47"/>
    </row>
    <row r="22" ht="15.75" customHeight="1">
      <c r="A22" s="59" t="s">
        <v>190</v>
      </c>
      <c r="B22" s="71">
        <f>B21/2</f>
        <v>0.01162790698</v>
      </c>
      <c r="C22" s="65"/>
      <c r="D22" s="87"/>
      <c r="E22" s="47"/>
      <c r="F22" s="89"/>
      <c r="G22" s="90"/>
      <c r="H22" s="87"/>
    </row>
    <row r="23" ht="15.75" customHeight="1">
      <c r="B23" s="67"/>
      <c r="C23" s="90"/>
      <c r="D23" s="87"/>
      <c r="F23" s="78"/>
      <c r="G23" s="86"/>
      <c r="H23" s="87"/>
      <c r="I23" s="47"/>
      <c r="J23" s="47"/>
    </row>
    <row r="24" ht="15.75" customHeight="1">
      <c r="B24" s="67"/>
      <c r="C24" s="86"/>
      <c r="D24" s="87"/>
      <c r="E24" s="47"/>
      <c r="F24" s="78"/>
      <c r="G24" s="86"/>
      <c r="H24" s="87"/>
      <c r="I24" s="47"/>
      <c r="J24" s="47"/>
    </row>
    <row r="25" ht="15.75" customHeight="1">
      <c r="B25" s="67"/>
      <c r="C25" s="47"/>
      <c r="D25" s="47"/>
      <c r="E25" s="47"/>
      <c r="F25" s="89"/>
      <c r="G25" s="90"/>
      <c r="H25" s="87"/>
    </row>
    <row r="26" ht="15.75" customHeight="1">
      <c r="B26" s="67"/>
      <c r="C26" s="65"/>
      <c r="D26" s="47"/>
      <c r="E26" s="47"/>
    </row>
    <row r="27" ht="15.75" customHeight="1">
      <c r="B27" s="67"/>
      <c r="C27" s="47"/>
      <c r="D27" s="47"/>
      <c r="E27" s="47"/>
    </row>
    <row r="28" ht="15.75" customHeight="1">
      <c r="B28" s="67"/>
      <c r="C28" s="78"/>
      <c r="D28" s="78"/>
      <c r="E28" s="65"/>
    </row>
    <row r="29" ht="15.75" customHeight="1">
      <c r="B29" s="67"/>
      <c r="C29" s="86"/>
      <c r="D29" s="87"/>
      <c r="E29" s="47"/>
    </row>
    <row r="30" ht="15.75" customHeight="1">
      <c r="B30" s="67"/>
      <c r="C30" s="90"/>
      <c r="D30" s="87"/>
    </row>
    <row r="31" ht="15.75" customHeight="1">
      <c r="B31" s="67"/>
      <c r="C31" s="86"/>
      <c r="D31" s="87"/>
      <c r="E31" s="47"/>
    </row>
    <row r="32" ht="15.75" customHeight="1">
      <c r="B32" s="67"/>
      <c r="C32" s="86"/>
      <c r="D32" s="87"/>
      <c r="E32" s="47"/>
    </row>
    <row r="33" ht="15.75" customHeight="1">
      <c r="B33" s="67"/>
      <c r="C33" s="94"/>
      <c r="D33" s="1"/>
    </row>
    <row r="34" ht="15.75" customHeight="1">
      <c r="B34" s="67"/>
      <c r="C34" s="94"/>
      <c r="D34" s="1"/>
    </row>
    <row r="35" ht="15.75" customHeight="1">
      <c r="B35" s="67"/>
      <c r="C35" s="94"/>
      <c r="D35" s="1"/>
    </row>
    <row r="36" ht="15.75" customHeight="1">
      <c r="B36" s="67"/>
      <c r="C36" s="94"/>
      <c r="D36" s="1"/>
    </row>
    <row r="37" ht="15.75" customHeight="1">
      <c r="B37" s="1"/>
      <c r="C37" s="94"/>
      <c r="D37" s="1"/>
    </row>
    <row r="38" ht="15.75" customHeight="1">
      <c r="B38" s="1"/>
      <c r="C38" s="94"/>
      <c r="D38" s="1"/>
    </row>
    <row r="39" ht="15.75" customHeight="1">
      <c r="B39" s="1"/>
      <c r="C39" s="94"/>
      <c r="D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K4:O4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